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356" windowWidth="14325" windowHeight="12810" tabRatio="130" activeTab="0"/>
  </bookViews>
  <sheets>
    <sheet name="Лист1" sheetId="1" r:id="rId1"/>
  </sheets>
  <definedNames>
    <definedName name="Excel_BuiltIn_Print_Area_1_1">'Лист1'!$A$2:$Q$112</definedName>
    <definedName name="Excel_BuiltIn_Print_Titles_1_1">'Лист1'!$5:$8</definedName>
    <definedName name="_xlnm.Print_Titles" localSheetId="0">'Лист1'!$A:$C,'Лист1'!$5:$9</definedName>
    <definedName name="_xlnm.Print_Area" localSheetId="0">'Лист1'!$A$1:$R$112</definedName>
  </definedNames>
  <calcPr fullCalcOnLoad="1"/>
</workbook>
</file>

<file path=xl/comments1.xml><?xml version="1.0" encoding="utf-8"?>
<comments xmlns="http://schemas.openxmlformats.org/spreadsheetml/2006/main">
  <authors>
    <author>пантера</author>
    <author>Горбунова Ирина Анатольевна</author>
  </authors>
  <commentList>
    <comment ref="N18" authorId="0">
      <text>
        <r>
          <rPr>
            <b/>
            <sz val="8"/>
            <rFont val="Tahoma"/>
            <family val="2"/>
          </rPr>
          <t>пантера: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гвс идет с паровых котлов</t>
        </r>
      </text>
    </comment>
    <comment ref="J56" authorId="1">
      <text>
        <r>
          <rPr>
            <b/>
            <sz val="9"/>
            <rFont val="Tahoma"/>
            <family val="2"/>
          </rPr>
          <t>Горбунова Ирина Анатольевна:</t>
        </r>
        <r>
          <rPr>
            <sz val="9"/>
            <rFont val="Tahoma"/>
            <family val="2"/>
          </rPr>
          <t xml:space="preserve">
изменилась производительность котлов</t>
        </r>
      </text>
    </comment>
    <comment ref="E104" authorId="1">
      <text>
        <r>
          <rPr>
            <b/>
            <sz val="9"/>
            <rFont val="Tahoma"/>
            <family val="2"/>
          </rPr>
          <t>Горбунова Ирина Анатольевна:</t>
        </r>
        <r>
          <rPr>
            <sz val="9"/>
            <rFont val="Tahoma"/>
            <family val="2"/>
          </rPr>
          <t xml:space="preserve">
один котел требует капремонта</t>
        </r>
      </text>
    </comment>
    <comment ref="J24" authorId="1">
      <text>
        <r>
          <rPr>
            <b/>
            <sz val="9"/>
            <rFont val="Tahoma"/>
            <family val="2"/>
          </rPr>
          <t>Горбунова Ирина Анатольевна:</t>
        </r>
        <r>
          <rPr>
            <sz val="9"/>
            <rFont val="Tahoma"/>
            <family val="2"/>
          </rPr>
          <t xml:space="preserve">
убрали один котел Братск-1Г</t>
        </r>
      </text>
    </comment>
    <comment ref="J41" authorId="1">
      <text>
        <r>
          <rPr>
            <b/>
            <sz val="9"/>
            <rFont val="Tahoma"/>
            <family val="2"/>
          </rPr>
          <t>Горбунова Ирина Анатольевна:</t>
        </r>
        <r>
          <rPr>
            <sz val="9"/>
            <rFont val="Tahoma"/>
            <family val="2"/>
          </rPr>
          <t xml:space="preserve">
до 2018 было 2 котла ДКВр</t>
        </r>
      </text>
    </comment>
  </commentList>
</comments>
</file>

<file path=xl/sharedStrings.xml><?xml version="1.0" encoding="utf-8"?>
<sst xmlns="http://schemas.openxmlformats.org/spreadsheetml/2006/main" count="311" uniqueCount="145">
  <si>
    <t>№ пп</t>
  </si>
  <si>
    <t>Расход условного топлива</t>
  </si>
  <si>
    <t>Всего</t>
  </si>
  <si>
    <t>Кол-во</t>
  </si>
  <si>
    <t>КВГМ 30-150</t>
  </si>
  <si>
    <t>Южная</t>
  </si>
  <si>
    <t>ТВГ-1,5</t>
  </si>
  <si>
    <t>ТВГ-2,5</t>
  </si>
  <si>
    <t>Школа № 60</t>
  </si>
  <si>
    <t>Нр-18</t>
  </si>
  <si>
    <t>Воронежская</t>
  </si>
  <si>
    <t>Галетная</t>
  </si>
  <si>
    <t>Западная</t>
  </si>
  <si>
    <t>ДКВр6.5/13</t>
  </si>
  <si>
    <t xml:space="preserve">Совхоз-техникум </t>
  </si>
  <si>
    <t>ТВГ-8М</t>
  </si>
  <si>
    <t>Факел</t>
  </si>
  <si>
    <t>Квартал № 610</t>
  </si>
  <si>
    <t>Урицкого,16</t>
  </si>
  <si>
    <t>Школа № 8</t>
  </si>
  <si>
    <t>Больничный комплекс</t>
  </si>
  <si>
    <t>Энергия-3</t>
  </si>
  <si>
    <t>Школа глухонемых</t>
  </si>
  <si>
    <t>Modal-233</t>
  </si>
  <si>
    <t>Школа № 5</t>
  </si>
  <si>
    <t>Измайлова, 41</t>
  </si>
  <si>
    <t>Павлушкина, 19</t>
  </si>
  <si>
    <t>Хопер-100</t>
  </si>
  <si>
    <t>СарЗЭМ-100</t>
  </si>
  <si>
    <t>Пермская, 1</t>
  </si>
  <si>
    <t>2006</t>
  </si>
  <si>
    <t>Пархоменко, 29в</t>
  </si>
  <si>
    <t>Каляева, 7</t>
  </si>
  <si>
    <t>Микро-95</t>
  </si>
  <si>
    <t>2008</t>
  </si>
  <si>
    <t>Школа № 40</t>
  </si>
  <si>
    <t>Злобина, 51б</t>
  </si>
  <si>
    <t>Микро-50</t>
  </si>
  <si>
    <t>Итого:</t>
  </si>
  <si>
    <t>Buderus Logano SK 745-1040</t>
  </si>
  <si>
    <t>REX-160 Ici Саldaie</t>
  </si>
  <si>
    <t>Наименование котельной</t>
  </si>
  <si>
    <t>Завод изготовитель котлов</t>
  </si>
  <si>
    <t>Вид топлива</t>
  </si>
  <si>
    <t>КПД котлов</t>
  </si>
  <si>
    <t xml:space="preserve">Сельхозакадемия </t>
  </si>
  <si>
    <t>Unical ELLPREX 510</t>
  </si>
  <si>
    <t>Unical ELLPREX 630</t>
  </si>
  <si>
    <t>Ломоносова, 4</t>
  </si>
  <si>
    <t>газ</t>
  </si>
  <si>
    <t>ОАО "Дорогобужкотломаш"</t>
  </si>
  <si>
    <t>ОАО "Бийский котельный завод"</t>
  </si>
  <si>
    <t>МПТС г.Туймазы Б.АССР</t>
  </si>
  <si>
    <t>Riello, Германия</t>
  </si>
  <si>
    <t>"ICI caldaie S.p.A.", Италия</t>
  </si>
  <si>
    <t>ПО "Липецксантехника"</t>
  </si>
  <si>
    <t>ПО "Тагилсантехника"</t>
  </si>
  <si>
    <t>ОАО "Минский завод отопительного оборудования"</t>
  </si>
  <si>
    <t>ОАО "Борисоглебский чугунно-литейный завод"</t>
  </si>
  <si>
    <t>UNICAL AG S.p.A., Италия</t>
  </si>
  <si>
    <t>ООО "ТФС", г.Самара</t>
  </si>
  <si>
    <t>ОАО "Хабаровский завод отпительного оборудования"</t>
  </si>
  <si>
    <t>ООО "Московский чугунно-литейный завод"</t>
  </si>
  <si>
    <t>ОАО "Сарэнергомаш"</t>
  </si>
  <si>
    <t>ООО "ТФС"</t>
  </si>
  <si>
    <t>4й пр.Терновского</t>
  </si>
  <si>
    <t xml:space="preserve">Ортопедическое предприятие </t>
  </si>
  <si>
    <t>МПТС г.Туймазы, Б.АССР</t>
  </si>
  <si>
    <t>Агрохимлаборатория</t>
  </si>
  <si>
    <t>Библиотека им.Лермонтова</t>
  </si>
  <si>
    <t>ОАО "Хабаровский завод отопительного оборудования"</t>
  </si>
  <si>
    <t>п. Монтажный</t>
  </si>
  <si>
    <t>п. Заря</t>
  </si>
  <si>
    <t>ДКВР 4/13</t>
  </si>
  <si>
    <t>Военный городок № 2</t>
  </si>
  <si>
    <t>Братск-1Г</t>
  </si>
  <si>
    <t>Э5 - Д2</t>
  </si>
  <si>
    <t>Кордон Студеный</t>
  </si>
  <si>
    <t>Modal 291 Unical</t>
  </si>
  <si>
    <t>Гостиница "Пенза"</t>
  </si>
  <si>
    <t>Универсал-6М</t>
  </si>
  <si>
    <t>1968 (2010)</t>
  </si>
  <si>
    <t>Отопление</t>
  </si>
  <si>
    <t>Ягодная</t>
  </si>
  <si>
    <t>Привокзальная, 4а</t>
  </si>
  <si>
    <t>Вентиля-ция</t>
  </si>
  <si>
    <t>Аксакова</t>
  </si>
  <si>
    <t>ГВС (max)</t>
  </si>
  <si>
    <t>Универсал-5</t>
  </si>
  <si>
    <t>Универсал-6</t>
  </si>
  <si>
    <t>Минск-1</t>
  </si>
  <si>
    <t>КВГМ-7,56</t>
  </si>
  <si>
    <t>ПТВМ-50</t>
  </si>
  <si>
    <t>2015</t>
  </si>
  <si>
    <t>Омский завод инновационных технологий</t>
  </si>
  <si>
    <t>Lavart 1500 R</t>
  </si>
  <si>
    <t>Пар</t>
  </si>
  <si>
    <t xml:space="preserve">Е1/9-1Г </t>
  </si>
  <si>
    <t xml:space="preserve">ОАО "Монастырищенский машиностроительный завод" </t>
  </si>
  <si>
    <t>Роддом № 2</t>
  </si>
  <si>
    <t>МЗК-7АГ-1</t>
  </si>
  <si>
    <t>13.12.1983г.</t>
  </si>
  <si>
    <t>1986г.</t>
  </si>
  <si>
    <t>Адрес</t>
  </si>
  <si>
    <t>ул.Калинина, 150</t>
  </si>
  <si>
    <t>ул.Аксакова, 2а</t>
  </si>
  <si>
    <t>ул.Белинского, 10</t>
  </si>
  <si>
    <t>ул.Бекешская, 43</t>
  </si>
  <si>
    <t>п.Монтажный, Военный городок № 2, 10б</t>
  </si>
  <si>
    <t>ул.Воронежская, 3а</t>
  </si>
  <si>
    <t>ул.Галетная, 17к</t>
  </si>
  <si>
    <t>ул.Славы, 10а</t>
  </si>
  <si>
    <t>ул.Мира,1б</t>
  </si>
  <si>
    <t>ул.Молодежная, 10г</t>
  </si>
  <si>
    <t>ул.Злобина, 51б</t>
  </si>
  <si>
    <t>ул.Измайлова, 41</t>
  </si>
  <si>
    <t>ул.Урицкого, 125</t>
  </si>
  <si>
    <t>ул.Пограничная, 8к</t>
  </si>
  <si>
    <t>ул.Ломоносова, 4</t>
  </si>
  <si>
    <t>ул.Ушакова, 15а</t>
  </si>
  <si>
    <t>ул.Бакунина, 181а</t>
  </si>
  <si>
    <t>ул.Павлушкина, 19к</t>
  </si>
  <si>
    <t>ул.Пархоменко, 29в</t>
  </si>
  <si>
    <t>ул.Привокзальная, 4</t>
  </si>
  <si>
    <t>пр.Победы, 122</t>
  </si>
  <si>
    <t>ул.Ботаническая, 17к</t>
  </si>
  <si>
    <t xml:space="preserve">ул.Совхоз-техникум, 8к </t>
  </si>
  <si>
    <t>ул.Урицкого,16</t>
  </si>
  <si>
    <t>ул.Индустриальная, 48а</t>
  </si>
  <si>
    <t>ул.Касаткина, 8</t>
  </si>
  <si>
    <t>ул.Хользунова, 27/30</t>
  </si>
  <si>
    <t>ул.Ростовская, 58а</t>
  </si>
  <si>
    <t>ул.Тимирязева, 127</t>
  </si>
  <si>
    <t>ул.Рябова, 30</t>
  </si>
  <si>
    <t>ул.Ягодная, 21/30</t>
  </si>
  <si>
    <t>4й пр.Терновского, 9к</t>
  </si>
  <si>
    <t>ул.Пермская, 1</t>
  </si>
  <si>
    <t>Присоединенная нагрузка, Гкал/ч</t>
  </si>
  <si>
    <t>Состав и тип оборудования</t>
  </si>
  <si>
    <t>Установленная тепловая мощность, Гкал/ч</t>
  </si>
  <si>
    <t>Год ввода оборудования в эксплуатацию</t>
  </si>
  <si>
    <t>Здание (год постройки)</t>
  </si>
  <si>
    <t>4.1 Котельные</t>
  </si>
  <si>
    <t>4. Перечень параметров, технических характеристик, иных показателей объектов теплоснабжения выявленных в процессе проведения технического обследования</t>
  </si>
  <si>
    <t>Таблица 1 Информация о котельных предприятия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</si>
</sst>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dd/mm/yy"/>
    <numFmt numFmtId="175" formatCode="0.000"/>
    <numFmt numFmtId="176" formatCode="mm/yy"/>
    <numFmt numFmtId="177" formatCode="0.000000"/>
    <numFmt numFmtId="178" formatCode="0.00000"/>
    <numFmt numFmtId="179" formatCode="0.00000000"/>
    <numFmt numFmtId="180" formatCode="0.0000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\ _₽_-;\-* #,##0.0000\ _₽_-;_-* &quot;-&quot;????\ _₽_-;_-@_-"/>
  </numFmts>
  <fonts count="54">
    <font>
      <sz val="10"/>
      <name val="Arial Cyr"/>
      <family val="2"/>
    </font>
    <font>
      <sz val="10"/>
      <name val="Arial"/>
      <family val="0"/>
    </font>
    <font>
      <sz val="10"/>
      <color indexed="10"/>
      <name val="Arial Cyr"/>
      <family val="2"/>
    </font>
    <font>
      <b/>
      <i/>
      <u val="single"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i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b/>
      <i/>
      <sz val="10"/>
      <color theme="1"/>
      <name val="Arial Cyr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>
        <color indexed="8"/>
      </right>
      <top style="medium"/>
      <bottom>
        <color indexed="63"/>
      </bottom>
    </border>
    <border>
      <left style="thin"/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5" fillId="0" borderId="0" xfId="0" applyNumberFormat="1" applyFont="1" applyFill="1" applyBorder="1" applyAlignment="1">
      <alignment horizontal="right" vertical="center"/>
    </xf>
    <xf numFmtId="2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4" fontId="0" fillId="0" borderId="18" xfId="0" applyNumberFormat="1" applyFill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justify"/>
    </xf>
    <xf numFmtId="1" fontId="0" fillId="0" borderId="1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justify"/>
    </xf>
    <xf numFmtId="1" fontId="0" fillId="0" borderId="20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4" fillId="34" borderId="24" xfId="0" applyFont="1" applyFill="1" applyBorder="1" applyAlignment="1">
      <alignment vertical="center" wrapText="1"/>
    </xf>
    <xf numFmtId="0" fontId="4" fillId="34" borderId="25" xfId="0" applyFont="1" applyFill="1" applyBorder="1" applyAlignment="1">
      <alignment vertical="center" wrapText="1"/>
    </xf>
    <xf numFmtId="0" fontId="4" fillId="34" borderId="26" xfId="0" applyFont="1" applyFill="1" applyBorder="1" applyAlignment="1">
      <alignment vertical="center" wrapText="1"/>
    </xf>
    <xf numFmtId="0" fontId="4" fillId="34" borderId="27" xfId="0" applyFont="1" applyFill="1" applyBorder="1" applyAlignment="1">
      <alignment vertical="center" wrapText="1"/>
    </xf>
    <xf numFmtId="0" fontId="4" fillId="34" borderId="28" xfId="0" applyFont="1" applyFill="1" applyBorder="1" applyAlignment="1">
      <alignment vertical="center" wrapText="1"/>
    </xf>
    <xf numFmtId="0" fontId="4" fillId="34" borderId="29" xfId="0" applyFont="1" applyFill="1" applyBorder="1" applyAlignment="1">
      <alignment vertical="center" wrapText="1"/>
    </xf>
    <xf numFmtId="0" fontId="4" fillId="34" borderId="30" xfId="0" applyFont="1" applyFill="1" applyBorder="1" applyAlignment="1">
      <alignment vertical="center" wrapText="1"/>
    </xf>
    <xf numFmtId="0" fontId="4" fillId="34" borderId="31" xfId="0" applyFont="1" applyFill="1" applyBorder="1" applyAlignment="1">
      <alignment vertical="center" wrapText="1"/>
    </xf>
    <xf numFmtId="0" fontId="4" fillId="34" borderId="32" xfId="0" applyFont="1" applyFill="1" applyBorder="1" applyAlignment="1">
      <alignment vertical="center" wrapText="1"/>
    </xf>
    <xf numFmtId="0" fontId="4" fillId="34" borderId="33" xfId="0" applyFont="1" applyFill="1" applyBorder="1" applyAlignment="1">
      <alignment vertical="center" wrapText="1"/>
    </xf>
    <xf numFmtId="0" fontId="4" fillId="34" borderId="34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2" fontId="0" fillId="34" borderId="15" xfId="0" applyNumberFormat="1" applyFont="1" applyFill="1" applyBorder="1" applyAlignment="1">
      <alignment horizontal="center" vertical="center"/>
    </xf>
    <xf numFmtId="2" fontId="0" fillId="34" borderId="17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2" fontId="0" fillId="34" borderId="0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2" fontId="0" fillId="34" borderId="16" xfId="0" applyNumberFormat="1" applyFont="1" applyFill="1" applyBorder="1" applyAlignment="1">
      <alignment horizontal="center" vertical="center"/>
    </xf>
    <xf numFmtId="2" fontId="0" fillId="34" borderId="19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2" fontId="0" fillId="34" borderId="35" xfId="0" applyNumberFormat="1" applyFont="1" applyFill="1" applyBorder="1" applyAlignment="1">
      <alignment horizontal="center" vertical="center"/>
    </xf>
    <xf numFmtId="2" fontId="0" fillId="34" borderId="36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2" fontId="0" fillId="34" borderId="21" xfId="0" applyNumberFormat="1" applyFont="1" applyFill="1" applyBorder="1" applyAlignment="1">
      <alignment horizontal="center" vertical="center"/>
    </xf>
    <xf numFmtId="2" fontId="0" fillId="34" borderId="16" xfId="0" applyNumberFormat="1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2" fontId="0" fillId="34" borderId="15" xfId="0" applyNumberFormat="1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1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1" fontId="5" fillId="34" borderId="12" xfId="0" applyNumberFormat="1" applyFont="1" applyFill="1" applyBorder="1" applyAlignment="1">
      <alignment horizontal="right" vertical="center"/>
    </xf>
    <xf numFmtId="2" fontId="5" fillId="34" borderId="12" xfId="0" applyNumberFormat="1" applyFont="1" applyFill="1" applyBorder="1" applyAlignment="1">
      <alignment horizontal="right" vertical="center"/>
    </xf>
    <xf numFmtId="175" fontId="5" fillId="34" borderId="12" xfId="0" applyNumberFormat="1" applyFont="1" applyFill="1" applyBorder="1" applyAlignment="1">
      <alignment horizontal="right" vertical="center"/>
    </xf>
    <xf numFmtId="0" fontId="52" fillId="34" borderId="0" xfId="0" applyFont="1" applyFill="1" applyBorder="1" applyAlignment="1">
      <alignment horizontal="left" vertical="center" wrapText="1"/>
    </xf>
    <xf numFmtId="0" fontId="51" fillId="34" borderId="0" xfId="0" applyFont="1" applyFill="1" applyAlignment="1">
      <alignment horizontal="left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center" vertical="center" wrapText="1"/>
    </xf>
    <xf numFmtId="2" fontId="0" fillId="0" borderId="40" xfId="0" applyNumberFormat="1" applyFont="1" applyFill="1" applyBorder="1" applyAlignment="1">
      <alignment horizontal="center" vertical="center"/>
    </xf>
    <xf numFmtId="2" fontId="0" fillId="0" borderId="41" xfId="0" applyNumberFormat="1" applyFont="1" applyFill="1" applyBorder="1" applyAlignment="1">
      <alignment horizontal="center" vertical="center"/>
    </xf>
    <xf numFmtId="182" fontId="1" fillId="0" borderId="15" xfId="60" applyNumberFormat="1" applyFont="1" applyFill="1" applyBorder="1" applyAlignment="1">
      <alignment horizontal="center" vertical="center"/>
    </xf>
    <xf numFmtId="182" fontId="1" fillId="0" borderId="11" xfId="60" applyNumberFormat="1" applyFont="1" applyFill="1" applyBorder="1" applyAlignment="1">
      <alignment horizontal="center" vertical="center"/>
    </xf>
    <xf numFmtId="182" fontId="1" fillId="0" borderId="16" xfId="60" applyNumberFormat="1" applyFont="1" applyFill="1" applyBorder="1" applyAlignment="1">
      <alignment horizontal="center" vertical="center"/>
    </xf>
    <xf numFmtId="182" fontId="1" fillId="0" borderId="15" xfId="60" applyNumberFormat="1" applyFill="1" applyBorder="1" applyAlignment="1">
      <alignment horizontal="center" vertical="center"/>
    </xf>
    <xf numFmtId="182" fontId="1" fillId="0" borderId="11" xfId="60" applyNumberFormat="1" applyFill="1" applyBorder="1" applyAlignment="1">
      <alignment horizontal="center" vertical="center"/>
    </xf>
    <xf numFmtId="182" fontId="1" fillId="0" borderId="16" xfId="60" applyNumberForma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2" fontId="1" fillId="0" borderId="15" xfId="60" applyNumberFormat="1" applyFont="1" applyFill="1" applyBorder="1" applyAlignment="1">
      <alignment horizontal="center" vertical="center"/>
    </xf>
    <xf numFmtId="182" fontId="1" fillId="0" borderId="11" xfId="60" applyNumberFormat="1" applyFont="1" applyFill="1" applyBorder="1" applyAlignment="1">
      <alignment horizontal="center" vertical="center"/>
    </xf>
    <xf numFmtId="182" fontId="1" fillId="0" borderId="16" xfId="6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75" fontId="0" fillId="0" borderId="15" xfId="0" applyNumberFormat="1" applyFont="1" applyFill="1" applyBorder="1" applyAlignment="1">
      <alignment horizontal="center" vertical="center"/>
    </xf>
    <xf numFmtId="175" fontId="0" fillId="0" borderId="16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72" fontId="0" fillId="33" borderId="15" xfId="0" applyNumberFormat="1" applyFont="1" applyFill="1" applyBorder="1" applyAlignment="1">
      <alignment horizontal="center" vertical="center"/>
    </xf>
    <xf numFmtId="172" fontId="0" fillId="33" borderId="11" xfId="0" applyNumberFormat="1" applyFont="1" applyFill="1" applyBorder="1" applyAlignment="1">
      <alignment horizontal="center" vertical="center"/>
    </xf>
    <xf numFmtId="172" fontId="0" fillId="33" borderId="16" xfId="0" applyNumberFormat="1" applyFont="1" applyFill="1" applyBorder="1" applyAlignment="1">
      <alignment horizontal="center" vertical="center"/>
    </xf>
    <xf numFmtId="175" fontId="0" fillId="0" borderId="11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173" fontId="0" fillId="0" borderId="15" xfId="0" applyNumberFormat="1" applyFont="1" applyFill="1" applyBorder="1" applyAlignment="1">
      <alignment horizontal="center" vertical="center"/>
    </xf>
    <xf numFmtId="173" fontId="0" fillId="0" borderId="11" xfId="0" applyNumberFormat="1" applyFont="1" applyFill="1" applyBorder="1" applyAlignment="1">
      <alignment horizontal="center" vertical="center"/>
    </xf>
    <xf numFmtId="173" fontId="0" fillId="0" borderId="16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171" fontId="1" fillId="0" borderId="15" xfId="60" applyFill="1" applyBorder="1" applyAlignment="1">
      <alignment horizontal="center" vertical="center"/>
    </xf>
    <xf numFmtId="171" fontId="1" fillId="0" borderId="16" xfId="6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175" fontId="0" fillId="33" borderId="15" xfId="0" applyNumberFormat="1" applyFont="1" applyFill="1" applyBorder="1" applyAlignment="1">
      <alignment horizontal="center" vertical="center"/>
    </xf>
    <xf numFmtId="175" fontId="0" fillId="33" borderId="11" xfId="0" applyNumberFormat="1" applyFont="1" applyFill="1" applyBorder="1" applyAlignment="1">
      <alignment horizontal="center" vertical="center"/>
    </xf>
    <xf numFmtId="175" fontId="0" fillId="33" borderId="16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12"/>
  <sheetViews>
    <sheetView tabSelected="1" view="pageBreakPreview" zoomScale="87" zoomScaleNormal="75" zoomScaleSheetLayoutView="87" zoomScalePageLayoutView="0" workbookViewId="0" topLeftCell="A1">
      <pane xSplit="3" ySplit="8" topLeftCell="D42" activePane="bottomRight" state="frozen"/>
      <selection pane="topLeft" activeCell="A1" sqref="A1"/>
      <selection pane="topRight" activeCell="D1" sqref="D1"/>
      <selection pane="bottomLeft" activeCell="A366" sqref="A366"/>
      <selection pane="bottomRight" activeCell="B5" sqref="B5"/>
    </sheetView>
  </sheetViews>
  <sheetFormatPr defaultColWidth="9.00390625" defaultRowHeight="12.75"/>
  <cols>
    <col min="1" max="1" width="1.75390625" style="1" customWidth="1"/>
    <col min="2" max="2" width="4.75390625" style="2" customWidth="1"/>
    <col min="3" max="3" width="28.625" style="31" customWidth="1"/>
    <col min="4" max="5" width="25.75390625" style="31" customWidth="1"/>
    <col min="6" max="8" width="25.75390625" style="115" hidden="1" customWidth="1"/>
    <col min="9" max="9" width="54.875" style="115" hidden="1" customWidth="1"/>
    <col min="10" max="10" width="15.75390625" style="117" customWidth="1"/>
    <col min="11" max="11" width="11.25390625" style="31" customWidth="1"/>
    <col min="12" max="12" width="20.75390625" style="31" customWidth="1"/>
    <col min="13" max="15" width="11.75390625" style="18" customWidth="1"/>
    <col min="16" max="16" width="11.75390625" style="4" customWidth="1"/>
    <col min="17" max="17" width="11.75390625" style="18" customWidth="1"/>
    <col min="18" max="18" width="8.75390625" style="24" customWidth="1"/>
    <col min="19" max="19" width="14.75390625" style="24" customWidth="1"/>
    <col min="20" max="20" width="10.75390625" style="24" customWidth="1"/>
    <col min="21" max="28" width="9.125" style="1" customWidth="1"/>
  </cols>
  <sheetData>
    <row r="1" spans="1:28" s="28" customFormat="1" ht="12.75">
      <c r="A1" s="27"/>
      <c r="B1" s="27"/>
      <c r="C1" s="62"/>
      <c r="D1" s="62"/>
      <c r="E1" s="62"/>
      <c r="F1" s="68"/>
      <c r="G1" s="68"/>
      <c r="H1" s="68"/>
      <c r="I1" s="68"/>
      <c r="J1" s="62"/>
      <c r="K1" s="62"/>
      <c r="L1" s="62"/>
      <c r="M1" s="27"/>
      <c r="N1" s="27"/>
      <c r="O1" s="27"/>
      <c r="P1" s="27"/>
      <c r="Q1" s="27"/>
      <c r="R1" s="29"/>
      <c r="S1" s="29"/>
      <c r="T1" s="29"/>
      <c r="U1" s="27"/>
      <c r="V1" s="27"/>
      <c r="W1" s="27"/>
      <c r="X1" s="27"/>
      <c r="Y1" s="27"/>
      <c r="Z1" s="27"/>
      <c r="AA1" s="27"/>
      <c r="AB1" s="27"/>
    </row>
    <row r="2" spans="1:28" s="28" customFormat="1" ht="39.75" customHeight="1">
      <c r="A2" s="27"/>
      <c r="B2" s="120" t="s">
        <v>143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29"/>
      <c r="T2" s="29"/>
      <c r="U2" s="27"/>
      <c r="V2" s="27"/>
      <c r="W2" s="27"/>
      <c r="X2" s="27"/>
      <c r="Y2" s="27"/>
      <c r="Z2" s="27"/>
      <c r="AA2" s="27"/>
      <c r="AB2" s="27"/>
    </row>
    <row r="3" spans="1:28" s="28" customFormat="1" ht="15.75">
      <c r="A3" s="27"/>
      <c r="B3" s="202" t="s">
        <v>142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18"/>
      <c r="T3" s="118"/>
      <c r="U3" s="27"/>
      <c r="V3" s="27"/>
      <c r="W3" s="27"/>
      <c r="X3" s="27"/>
      <c r="Y3" s="27"/>
      <c r="Z3" s="27"/>
      <c r="AA3" s="27"/>
      <c r="AB3" s="27"/>
    </row>
    <row r="4" spans="1:28" s="28" customFormat="1" ht="15.75">
      <c r="A4" s="27"/>
      <c r="B4" s="119" t="s">
        <v>144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27"/>
      <c r="V4" s="27"/>
      <c r="W4" s="27"/>
      <c r="X4" s="27"/>
      <c r="Y4" s="27"/>
      <c r="Z4" s="27"/>
      <c r="AA4" s="27"/>
      <c r="AB4" s="27"/>
    </row>
    <row r="5" spans="2:20" s="30" customFormat="1" ht="4.5" customHeight="1" thickBot="1">
      <c r="B5" s="27"/>
      <c r="C5" s="62"/>
      <c r="D5" s="62"/>
      <c r="E5" s="62"/>
      <c r="F5" s="68"/>
      <c r="G5" s="68"/>
      <c r="H5" s="68"/>
      <c r="I5" s="68"/>
      <c r="J5" s="62"/>
      <c r="K5" s="62"/>
      <c r="L5" s="62"/>
      <c r="M5" s="27"/>
      <c r="N5" s="27"/>
      <c r="O5" s="27"/>
      <c r="P5" s="27"/>
      <c r="Q5" s="27"/>
      <c r="R5" s="29"/>
      <c r="S5" s="29"/>
      <c r="T5" s="29"/>
    </row>
    <row r="6" spans="2:20" s="30" customFormat="1" ht="30" customHeight="1" thickBot="1">
      <c r="B6" s="193" t="s">
        <v>0</v>
      </c>
      <c r="C6" s="196" t="s">
        <v>41</v>
      </c>
      <c r="D6" s="196" t="s">
        <v>103</v>
      </c>
      <c r="E6" s="129" t="s">
        <v>138</v>
      </c>
      <c r="F6" s="69"/>
      <c r="G6" s="69"/>
      <c r="H6" s="69"/>
      <c r="I6" s="69"/>
      <c r="J6" s="129" t="s">
        <v>139</v>
      </c>
      <c r="K6" s="132" t="s">
        <v>140</v>
      </c>
      <c r="L6" s="132" t="s">
        <v>141</v>
      </c>
      <c r="M6" s="199" t="s">
        <v>137</v>
      </c>
      <c r="N6" s="200"/>
      <c r="O6" s="200"/>
      <c r="P6" s="200"/>
      <c r="Q6" s="201"/>
      <c r="R6" s="132" t="s">
        <v>43</v>
      </c>
      <c r="S6" s="193"/>
      <c r="T6" s="190"/>
    </row>
    <row r="7" spans="2:20" s="30" customFormat="1" ht="30" customHeight="1">
      <c r="B7" s="194"/>
      <c r="C7" s="197"/>
      <c r="D7" s="197"/>
      <c r="E7" s="130"/>
      <c r="F7" s="70" t="s">
        <v>3</v>
      </c>
      <c r="G7" s="71" t="s">
        <v>44</v>
      </c>
      <c r="H7" s="72" t="s">
        <v>1</v>
      </c>
      <c r="I7" s="73" t="s">
        <v>42</v>
      </c>
      <c r="J7" s="130"/>
      <c r="K7" s="133"/>
      <c r="L7" s="133"/>
      <c r="M7" s="193" t="s">
        <v>82</v>
      </c>
      <c r="N7" s="193" t="s">
        <v>87</v>
      </c>
      <c r="O7" s="193" t="s">
        <v>85</v>
      </c>
      <c r="P7" s="193" t="s">
        <v>96</v>
      </c>
      <c r="Q7" s="193" t="s">
        <v>2</v>
      </c>
      <c r="R7" s="133"/>
      <c r="S7" s="194"/>
      <c r="T7" s="191"/>
    </row>
    <row r="8" spans="2:20" s="30" customFormat="1" ht="30" customHeight="1">
      <c r="B8" s="194"/>
      <c r="C8" s="197"/>
      <c r="D8" s="197"/>
      <c r="E8" s="130"/>
      <c r="F8" s="74"/>
      <c r="G8" s="75"/>
      <c r="H8" s="76"/>
      <c r="I8" s="76"/>
      <c r="J8" s="130"/>
      <c r="K8" s="133"/>
      <c r="L8" s="133"/>
      <c r="M8" s="194"/>
      <c r="N8" s="194"/>
      <c r="O8" s="194"/>
      <c r="P8" s="194"/>
      <c r="Q8" s="194"/>
      <c r="R8" s="133"/>
      <c r="S8" s="194"/>
      <c r="T8" s="191"/>
    </row>
    <row r="9" spans="1:28" s="28" customFormat="1" ht="12.75" customHeight="1" thickBot="1">
      <c r="A9" s="27"/>
      <c r="B9" s="194"/>
      <c r="C9" s="198"/>
      <c r="D9" s="198"/>
      <c r="E9" s="131"/>
      <c r="F9" s="77"/>
      <c r="G9" s="78"/>
      <c r="H9" s="79"/>
      <c r="I9" s="79"/>
      <c r="J9" s="131"/>
      <c r="K9" s="134"/>
      <c r="L9" s="134"/>
      <c r="M9" s="195"/>
      <c r="N9" s="195"/>
      <c r="O9" s="195"/>
      <c r="P9" s="195"/>
      <c r="Q9" s="195"/>
      <c r="R9" s="134"/>
      <c r="S9" s="195"/>
      <c r="T9" s="192"/>
      <c r="U9" s="27"/>
      <c r="V9" s="27"/>
      <c r="W9" s="27"/>
      <c r="X9" s="27"/>
      <c r="Y9" s="27"/>
      <c r="Z9" s="27"/>
      <c r="AA9" s="27"/>
      <c r="AB9" s="27"/>
    </row>
    <row r="10" spans="1:23" s="6" customFormat="1" ht="13.5" thickBot="1">
      <c r="A10" s="4"/>
      <c r="B10" s="34">
        <v>1</v>
      </c>
      <c r="C10" s="34">
        <v>2</v>
      </c>
      <c r="D10" s="34">
        <v>3</v>
      </c>
      <c r="E10" s="34">
        <v>4</v>
      </c>
      <c r="F10" s="80">
        <v>12</v>
      </c>
      <c r="G10" s="80">
        <v>13</v>
      </c>
      <c r="H10" s="80">
        <v>14</v>
      </c>
      <c r="I10" s="80">
        <v>15</v>
      </c>
      <c r="J10" s="34">
        <v>5</v>
      </c>
      <c r="K10" s="34">
        <v>6</v>
      </c>
      <c r="L10" s="34">
        <v>7</v>
      </c>
      <c r="M10" s="34">
        <v>8</v>
      </c>
      <c r="N10" s="34">
        <v>9</v>
      </c>
      <c r="O10" s="34">
        <v>10</v>
      </c>
      <c r="P10" s="34">
        <v>11</v>
      </c>
      <c r="Q10" s="34">
        <v>12</v>
      </c>
      <c r="R10" s="34">
        <v>13</v>
      </c>
      <c r="S10" s="34">
        <v>14</v>
      </c>
      <c r="T10" s="34">
        <v>15</v>
      </c>
      <c r="U10" s="4"/>
      <c r="V10" s="4"/>
      <c r="W10" s="4"/>
    </row>
    <row r="11" spans="1:23" s="6" customFormat="1" ht="12.75">
      <c r="A11" s="4"/>
      <c r="B11" s="137">
        <v>1</v>
      </c>
      <c r="C11" s="140" t="s">
        <v>68</v>
      </c>
      <c r="D11" s="140" t="s">
        <v>104</v>
      </c>
      <c r="E11" s="35" t="s">
        <v>80</v>
      </c>
      <c r="F11" s="81">
        <v>1</v>
      </c>
      <c r="G11" s="82">
        <v>82.1</v>
      </c>
      <c r="H11" s="83">
        <v>174.18</v>
      </c>
      <c r="I11" s="84" t="s">
        <v>55</v>
      </c>
      <c r="J11" s="165">
        <f>0.4*2+0.7</f>
        <v>1.5</v>
      </c>
      <c r="K11" s="39">
        <v>1970</v>
      </c>
      <c r="L11" s="135">
        <v>1970</v>
      </c>
      <c r="M11" s="126">
        <v>0.6639</v>
      </c>
      <c r="N11" s="123">
        <v>0</v>
      </c>
      <c r="O11" s="126">
        <v>0</v>
      </c>
      <c r="P11" s="147">
        <v>0</v>
      </c>
      <c r="Q11" s="126">
        <f>M11+N11+O11+P11</f>
        <v>0.6639</v>
      </c>
      <c r="R11" s="177" t="s">
        <v>49</v>
      </c>
      <c r="S11" s="144"/>
      <c r="T11" s="187"/>
      <c r="U11" s="4"/>
      <c r="V11" s="4"/>
      <c r="W11" s="4"/>
    </row>
    <row r="12" spans="1:23" s="6" customFormat="1" ht="12.75">
      <c r="A12" s="4"/>
      <c r="B12" s="138"/>
      <c r="C12" s="141"/>
      <c r="D12" s="141"/>
      <c r="E12" s="17" t="s">
        <v>80</v>
      </c>
      <c r="F12" s="85">
        <v>1</v>
      </c>
      <c r="G12" s="86">
        <v>82.6</v>
      </c>
      <c r="H12" s="87">
        <v>173.12</v>
      </c>
      <c r="I12" s="88" t="s">
        <v>55</v>
      </c>
      <c r="J12" s="176"/>
      <c r="K12" s="5">
        <v>1970</v>
      </c>
      <c r="L12" s="143"/>
      <c r="M12" s="127"/>
      <c r="N12" s="124"/>
      <c r="O12" s="127"/>
      <c r="P12" s="148"/>
      <c r="Q12" s="127"/>
      <c r="R12" s="178"/>
      <c r="S12" s="145"/>
      <c r="T12" s="188"/>
      <c r="U12" s="4"/>
      <c r="V12" s="4"/>
      <c r="W12" s="4"/>
    </row>
    <row r="13" spans="1:28" s="6" customFormat="1" ht="13.5" thickBot="1">
      <c r="A13" s="4"/>
      <c r="B13" s="139"/>
      <c r="C13" s="142"/>
      <c r="D13" s="142"/>
      <c r="E13" s="37" t="s">
        <v>9</v>
      </c>
      <c r="F13" s="89">
        <v>1</v>
      </c>
      <c r="G13" s="90">
        <f>(82+82.93)/2</f>
        <v>82.465</v>
      </c>
      <c r="H13" s="91">
        <f>(174.38+172.43)/2</f>
        <v>173.405</v>
      </c>
      <c r="I13" s="92"/>
      <c r="J13" s="166"/>
      <c r="K13" s="41">
        <v>1970</v>
      </c>
      <c r="L13" s="136"/>
      <c r="M13" s="128"/>
      <c r="N13" s="125"/>
      <c r="O13" s="128"/>
      <c r="P13" s="149"/>
      <c r="Q13" s="128"/>
      <c r="R13" s="179"/>
      <c r="S13" s="146"/>
      <c r="T13" s="189"/>
      <c r="U13" s="4"/>
      <c r="V13" s="4"/>
      <c r="W13" s="4"/>
      <c r="X13" s="4"/>
      <c r="Y13" s="4"/>
      <c r="Z13" s="4"/>
      <c r="AA13" s="4"/>
      <c r="AB13" s="4"/>
    </row>
    <row r="14" spans="1:28" s="6" customFormat="1" ht="12.75">
      <c r="A14" s="4"/>
      <c r="B14" s="137">
        <f>B11+1</f>
        <v>2</v>
      </c>
      <c r="C14" s="140" t="s">
        <v>86</v>
      </c>
      <c r="D14" s="140" t="s">
        <v>105</v>
      </c>
      <c r="E14" s="35" t="s">
        <v>23</v>
      </c>
      <c r="F14" s="81">
        <v>1</v>
      </c>
      <c r="G14" s="93">
        <f>(89.7+90.05)/2</f>
        <v>89.875</v>
      </c>
      <c r="H14" s="93">
        <f>(159.41+158.81)/2</f>
        <v>159.11</v>
      </c>
      <c r="I14" s="84" t="s">
        <v>59</v>
      </c>
      <c r="J14" s="165">
        <f>0.2003*2</f>
        <v>0.4006</v>
      </c>
      <c r="K14" s="39">
        <v>2008</v>
      </c>
      <c r="L14" s="135">
        <v>2008</v>
      </c>
      <c r="M14" s="126">
        <v>0.1498</v>
      </c>
      <c r="N14" s="123">
        <v>0.165</v>
      </c>
      <c r="O14" s="126">
        <v>0</v>
      </c>
      <c r="P14" s="147">
        <v>0</v>
      </c>
      <c r="Q14" s="126">
        <f>M14+N14+O14+P14</f>
        <v>0.31479999999999997</v>
      </c>
      <c r="R14" s="177" t="s">
        <v>49</v>
      </c>
      <c r="S14" s="177"/>
      <c r="T14" s="180"/>
      <c r="U14" s="4"/>
      <c r="V14" s="4"/>
      <c r="W14" s="4"/>
      <c r="X14" s="4"/>
      <c r="Y14" s="4"/>
      <c r="Z14" s="4"/>
      <c r="AA14" s="4"/>
      <c r="AB14" s="4"/>
    </row>
    <row r="15" spans="1:23" s="6" customFormat="1" ht="13.5" thickBot="1">
      <c r="A15" s="4"/>
      <c r="B15" s="138"/>
      <c r="C15" s="141"/>
      <c r="D15" s="141"/>
      <c r="E15" s="17" t="s">
        <v>23</v>
      </c>
      <c r="F15" s="85">
        <v>1</v>
      </c>
      <c r="G15" s="94">
        <f>(90.19+90.36)/2</f>
        <v>90.275</v>
      </c>
      <c r="H15" s="94">
        <f>(158.55+158.25)/2</f>
        <v>158.4</v>
      </c>
      <c r="I15" s="88" t="s">
        <v>59</v>
      </c>
      <c r="J15" s="176"/>
      <c r="K15" s="5">
        <v>2008</v>
      </c>
      <c r="L15" s="143"/>
      <c r="M15" s="127"/>
      <c r="N15" s="124"/>
      <c r="O15" s="127"/>
      <c r="P15" s="148"/>
      <c r="Q15" s="127"/>
      <c r="R15" s="178"/>
      <c r="S15" s="178"/>
      <c r="T15" s="181"/>
      <c r="U15" s="4"/>
      <c r="V15" s="4"/>
      <c r="W15" s="4"/>
    </row>
    <row r="16" spans="1:23" s="6" customFormat="1" ht="12.75">
      <c r="A16" s="4"/>
      <c r="B16" s="150">
        <f>B14+1</f>
        <v>3</v>
      </c>
      <c r="C16" s="140" t="s">
        <v>69</v>
      </c>
      <c r="D16" s="140" t="s">
        <v>106</v>
      </c>
      <c r="E16" s="35" t="s">
        <v>88</v>
      </c>
      <c r="F16" s="81">
        <v>1</v>
      </c>
      <c r="G16" s="82">
        <f>(84.34+83.39)/2</f>
        <v>83.86500000000001</v>
      </c>
      <c r="H16" s="83">
        <f>(169.56+171.48)/2</f>
        <v>170.51999999999998</v>
      </c>
      <c r="I16" s="84" t="s">
        <v>58</v>
      </c>
      <c r="J16" s="165">
        <f>0.4*2</f>
        <v>0.8</v>
      </c>
      <c r="K16" s="39">
        <v>1964</v>
      </c>
      <c r="L16" s="135">
        <v>1960</v>
      </c>
      <c r="M16" s="126">
        <v>0.4911</v>
      </c>
      <c r="N16" s="123">
        <v>0</v>
      </c>
      <c r="O16" s="126">
        <v>0</v>
      </c>
      <c r="P16" s="147">
        <v>0</v>
      </c>
      <c r="Q16" s="126">
        <f>M16+N16+O16+P16</f>
        <v>0.4911</v>
      </c>
      <c r="R16" s="177" t="s">
        <v>49</v>
      </c>
      <c r="S16" s="177"/>
      <c r="T16" s="180"/>
      <c r="U16" s="4"/>
      <c r="V16" s="4"/>
      <c r="W16" s="4"/>
    </row>
    <row r="17" spans="1:28" s="6" customFormat="1" ht="12.75" customHeight="1" thickBot="1">
      <c r="A17" s="4"/>
      <c r="B17" s="151"/>
      <c r="C17" s="142"/>
      <c r="D17" s="142"/>
      <c r="E17" s="37" t="s">
        <v>89</v>
      </c>
      <c r="F17" s="89">
        <v>1</v>
      </c>
      <c r="G17" s="90">
        <f>(83.56+83.19)/2</f>
        <v>83.375</v>
      </c>
      <c r="H17" s="91">
        <f>(171.14+171.9)/2</f>
        <v>171.51999999999998</v>
      </c>
      <c r="I17" s="92" t="s">
        <v>70</v>
      </c>
      <c r="J17" s="166"/>
      <c r="K17" s="41">
        <v>1960</v>
      </c>
      <c r="L17" s="136"/>
      <c r="M17" s="128"/>
      <c r="N17" s="125"/>
      <c r="O17" s="128"/>
      <c r="P17" s="149"/>
      <c r="Q17" s="128"/>
      <c r="R17" s="179"/>
      <c r="S17" s="179"/>
      <c r="T17" s="182"/>
      <c r="U17" s="4"/>
      <c r="V17" s="4"/>
      <c r="W17" s="4"/>
      <c r="X17" s="4"/>
      <c r="Y17" s="4"/>
      <c r="Z17" s="4"/>
      <c r="AA17" s="4"/>
      <c r="AB17" s="4"/>
    </row>
    <row r="18" spans="1:28" s="6" customFormat="1" ht="12.75" customHeight="1">
      <c r="A18" s="4"/>
      <c r="B18" s="138">
        <f>B16+1</f>
        <v>4</v>
      </c>
      <c r="C18" s="141" t="s">
        <v>20</v>
      </c>
      <c r="D18" s="141" t="s">
        <v>107</v>
      </c>
      <c r="E18" s="17" t="s">
        <v>21</v>
      </c>
      <c r="F18" s="85">
        <v>1</v>
      </c>
      <c r="G18" s="94">
        <f>(85.75+85.98)/2</f>
        <v>85.86500000000001</v>
      </c>
      <c r="H18" s="94">
        <f>(166.77+166.31)/2</f>
        <v>166.54000000000002</v>
      </c>
      <c r="I18" s="88" t="s">
        <v>56</v>
      </c>
      <c r="J18" s="176">
        <f>0.58*3+0.7+1+1</f>
        <v>4.4399999999999995</v>
      </c>
      <c r="K18" s="7">
        <v>1972</v>
      </c>
      <c r="L18" s="143">
        <v>1972</v>
      </c>
      <c r="M18" s="127">
        <v>1.6924</v>
      </c>
      <c r="N18" s="124">
        <v>0.954</v>
      </c>
      <c r="O18" s="127">
        <v>0</v>
      </c>
      <c r="P18" s="148">
        <v>0.7709</v>
      </c>
      <c r="Q18" s="127">
        <f>M18+N18+O18+P18</f>
        <v>3.4173</v>
      </c>
      <c r="R18" s="178" t="s">
        <v>49</v>
      </c>
      <c r="S18" s="178"/>
      <c r="T18" s="181"/>
      <c r="U18" s="4"/>
      <c r="V18" s="4"/>
      <c r="W18" s="4"/>
      <c r="X18" s="4"/>
      <c r="Y18" s="4"/>
      <c r="Z18" s="4"/>
      <c r="AA18" s="4"/>
      <c r="AB18" s="4"/>
    </row>
    <row r="19" spans="1:28" s="6" customFormat="1" ht="12.75">
      <c r="A19" s="4"/>
      <c r="B19" s="138"/>
      <c r="C19" s="141"/>
      <c r="D19" s="141"/>
      <c r="E19" s="17" t="s">
        <v>21</v>
      </c>
      <c r="F19" s="85">
        <v>1</v>
      </c>
      <c r="G19" s="94">
        <f>(85.72+85.56)/2</f>
        <v>85.64</v>
      </c>
      <c r="H19" s="94">
        <f>(166.83+167.14)/2</f>
        <v>166.985</v>
      </c>
      <c r="I19" s="88" t="s">
        <v>56</v>
      </c>
      <c r="J19" s="176"/>
      <c r="K19" s="7">
        <v>1972</v>
      </c>
      <c r="L19" s="143"/>
      <c r="M19" s="127"/>
      <c r="N19" s="124"/>
      <c r="O19" s="127"/>
      <c r="P19" s="148"/>
      <c r="Q19" s="127"/>
      <c r="R19" s="178"/>
      <c r="S19" s="178"/>
      <c r="T19" s="181"/>
      <c r="U19" s="4"/>
      <c r="V19" s="4"/>
      <c r="W19" s="4"/>
      <c r="X19" s="4"/>
      <c r="Y19" s="4"/>
      <c r="Z19" s="4"/>
      <c r="AA19" s="4"/>
      <c r="AB19" s="4"/>
    </row>
    <row r="20" spans="1:28" s="6" customFormat="1" ht="12.75">
      <c r="A20" s="4"/>
      <c r="B20" s="138"/>
      <c r="C20" s="141"/>
      <c r="D20" s="141"/>
      <c r="E20" s="17" t="s">
        <v>21</v>
      </c>
      <c r="F20" s="85">
        <v>1</v>
      </c>
      <c r="G20" s="94">
        <f>(85.34+85.37)/2</f>
        <v>85.355</v>
      </c>
      <c r="H20" s="94">
        <f>(167.57+167.51)/2</f>
        <v>167.54</v>
      </c>
      <c r="I20" s="88" t="s">
        <v>56</v>
      </c>
      <c r="J20" s="176"/>
      <c r="K20" s="7">
        <v>1972</v>
      </c>
      <c r="L20" s="143"/>
      <c r="M20" s="127"/>
      <c r="N20" s="124"/>
      <c r="O20" s="127"/>
      <c r="P20" s="148"/>
      <c r="Q20" s="127"/>
      <c r="R20" s="178"/>
      <c r="S20" s="178"/>
      <c r="T20" s="181"/>
      <c r="U20" s="4"/>
      <c r="V20" s="4"/>
      <c r="W20" s="4"/>
      <c r="X20" s="4"/>
      <c r="Y20" s="4"/>
      <c r="Z20" s="4"/>
      <c r="AA20" s="4"/>
      <c r="AB20" s="4"/>
    </row>
    <row r="21" spans="1:28" s="6" customFormat="1" ht="12.75">
      <c r="A21" s="4"/>
      <c r="B21" s="138"/>
      <c r="C21" s="141"/>
      <c r="D21" s="141"/>
      <c r="E21" s="17" t="s">
        <v>9</v>
      </c>
      <c r="F21" s="85">
        <v>1</v>
      </c>
      <c r="G21" s="94">
        <f>(81.55+81.31)/2</f>
        <v>81.43</v>
      </c>
      <c r="H21" s="94">
        <f>(175.18+175.7)/2</f>
        <v>175.44</v>
      </c>
      <c r="I21" s="88"/>
      <c r="J21" s="176"/>
      <c r="K21" s="7">
        <v>1974</v>
      </c>
      <c r="L21" s="143"/>
      <c r="M21" s="127"/>
      <c r="N21" s="124"/>
      <c r="O21" s="127"/>
      <c r="P21" s="148"/>
      <c r="Q21" s="127"/>
      <c r="R21" s="178"/>
      <c r="S21" s="178"/>
      <c r="T21" s="181"/>
      <c r="U21" s="4"/>
      <c r="V21" s="4"/>
      <c r="W21" s="4"/>
      <c r="X21" s="4"/>
      <c r="Y21" s="4"/>
      <c r="Z21" s="4"/>
      <c r="AA21" s="4"/>
      <c r="AB21" s="4"/>
    </row>
    <row r="22" spans="1:28" s="6" customFormat="1" ht="12.75">
      <c r="A22" s="4"/>
      <c r="B22" s="138"/>
      <c r="C22" s="141"/>
      <c r="D22" s="141"/>
      <c r="E22" s="17" t="s">
        <v>97</v>
      </c>
      <c r="F22" s="85">
        <v>1</v>
      </c>
      <c r="G22" s="94">
        <f>(83.23+83.04)/2</f>
        <v>83.135</v>
      </c>
      <c r="H22" s="86">
        <f>(171.81+172.21)/2</f>
        <v>172.01</v>
      </c>
      <c r="I22" s="88" t="s">
        <v>98</v>
      </c>
      <c r="J22" s="176"/>
      <c r="K22" s="33">
        <v>27380</v>
      </c>
      <c r="L22" s="143"/>
      <c r="M22" s="127"/>
      <c r="N22" s="124"/>
      <c r="O22" s="127"/>
      <c r="P22" s="148"/>
      <c r="Q22" s="127"/>
      <c r="R22" s="178"/>
      <c r="S22" s="178"/>
      <c r="T22" s="181"/>
      <c r="U22" s="4"/>
      <c r="V22" s="4"/>
      <c r="W22" s="4"/>
      <c r="X22" s="4"/>
      <c r="Y22" s="4"/>
      <c r="Z22" s="4"/>
      <c r="AA22" s="4"/>
      <c r="AB22" s="4"/>
    </row>
    <row r="23" spans="1:23" s="6" customFormat="1" ht="12.75" customHeight="1" thickBot="1">
      <c r="A23" s="4"/>
      <c r="B23" s="138"/>
      <c r="C23" s="141"/>
      <c r="D23" s="141"/>
      <c r="E23" s="17" t="s">
        <v>97</v>
      </c>
      <c r="F23" s="85">
        <v>1</v>
      </c>
      <c r="G23" s="94">
        <f>(86.81+87.15)/2</f>
        <v>86.98</v>
      </c>
      <c r="H23" s="95">
        <f>(164.74+164.08)/2</f>
        <v>164.41000000000003</v>
      </c>
      <c r="I23" s="88" t="s">
        <v>98</v>
      </c>
      <c r="J23" s="176"/>
      <c r="K23" s="33">
        <v>36313</v>
      </c>
      <c r="L23" s="143"/>
      <c r="M23" s="127"/>
      <c r="N23" s="124"/>
      <c r="O23" s="127"/>
      <c r="P23" s="148"/>
      <c r="Q23" s="127"/>
      <c r="R23" s="178"/>
      <c r="S23" s="178"/>
      <c r="T23" s="181"/>
      <c r="U23" s="4"/>
      <c r="V23" s="4"/>
      <c r="W23" s="4"/>
    </row>
    <row r="24" spans="1:23" s="6" customFormat="1" ht="12.75">
      <c r="A24" s="4"/>
      <c r="B24" s="150">
        <f>B18+1</f>
        <v>5</v>
      </c>
      <c r="C24" s="140" t="s">
        <v>74</v>
      </c>
      <c r="D24" s="140" t="s">
        <v>108</v>
      </c>
      <c r="E24" s="35" t="s">
        <v>75</v>
      </c>
      <c r="F24" s="81">
        <v>1</v>
      </c>
      <c r="G24" s="96">
        <v>82.5</v>
      </c>
      <c r="H24" s="83">
        <f>142.86/G24*100</f>
        <v>173.16363636363639</v>
      </c>
      <c r="I24" s="84" t="s">
        <v>57</v>
      </c>
      <c r="J24" s="159">
        <f>0.44+0.45+0.4+0.41</f>
        <v>1.7</v>
      </c>
      <c r="K24" s="39">
        <v>1998</v>
      </c>
      <c r="L24" s="135">
        <v>1976</v>
      </c>
      <c r="M24" s="126">
        <v>1.2696</v>
      </c>
      <c r="N24" s="123">
        <v>0.2404</v>
      </c>
      <c r="O24" s="126">
        <v>0</v>
      </c>
      <c r="P24" s="147">
        <v>0</v>
      </c>
      <c r="Q24" s="126">
        <f>M24+N24+O24+P24</f>
        <v>1.51</v>
      </c>
      <c r="R24" s="177" t="s">
        <v>49</v>
      </c>
      <c r="S24" s="177"/>
      <c r="T24" s="180"/>
      <c r="U24" s="4"/>
      <c r="V24" s="4"/>
      <c r="W24" s="4"/>
    </row>
    <row r="25" spans="1:23" s="6" customFormat="1" ht="12.75">
      <c r="A25" s="4"/>
      <c r="B25" s="154"/>
      <c r="C25" s="141"/>
      <c r="D25" s="141"/>
      <c r="E25" s="17" t="s">
        <v>76</v>
      </c>
      <c r="F25" s="85">
        <v>1</v>
      </c>
      <c r="G25" s="95">
        <f>(83.19+84.73)/2</f>
        <v>83.96000000000001</v>
      </c>
      <c r="H25" s="87">
        <f>(171.9+168.77)/2</f>
        <v>170.335</v>
      </c>
      <c r="I25" s="88" t="s">
        <v>56</v>
      </c>
      <c r="J25" s="160"/>
      <c r="K25" s="5">
        <v>1992</v>
      </c>
      <c r="L25" s="143"/>
      <c r="M25" s="127"/>
      <c r="N25" s="124"/>
      <c r="O25" s="127"/>
      <c r="P25" s="148"/>
      <c r="Q25" s="127"/>
      <c r="R25" s="178"/>
      <c r="S25" s="178"/>
      <c r="T25" s="181"/>
      <c r="U25" s="4"/>
      <c r="V25" s="4"/>
      <c r="W25" s="4"/>
    </row>
    <row r="26" spans="1:23" s="6" customFormat="1" ht="12.75">
      <c r="A26" s="4"/>
      <c r="B26" s="154"/>
      <c r="C26" s="141"/>
      <c r="D26" s="141"/>
      <c r="E26" s="17" t="s">
        <v>76</v>
      </c>
      <c r="F26" s="85">
        <v>1</v>
      </c>
      <c r="G26" s="95">
        <f>(84.97+84.93)/2</f>
        <v>84.95</v>
      </c>
      <c r="H26" s="87">
        <f>(168.3+168.38)/2</f>
        <v>168.34</v>
      </c>
      <c r="I26" s="88" t="s">
        <v>56</v>
      </c>
      <c r="J26" s="160"/>
      <c r="K26" s="5">
        <v>1976</v>
      </c>
      <c r="L26" s="143"/>
      <c r="M26" s="127"/>
      <c r="N26" s="124"/>
      <c r="O26" s="127"/>
      <c r="P26" s="148"/>
      <c r="Q26" s="127"/>
      <c r="R26" s="178"/>
      <c r="S26" s="178"/>
      <c r="T26" s="181"/>
      <c r="U26" s="4"/>
      <c r="V26" s="4"/>
      <c r="W26" s="4"/>
    </row>
    <row r="27" spans="1:28" s="6" customFormat="1" ht="12.75" customHeight="1" thickBot="1">
      <c r="A27" s="4"/>
      <c r="B27" s="151"/>
      <c r="C27" s="142"/>
      <c r="D27" s="142"/>
      <c r="E27" s="37" t="s">
        <v>76</v>
      </c>
      <c r="F27" s="89">
        <v>1</v>
      </c>
      <c r="G27" s="97">
        <f>(84.75+84.37)/2</f>
        <v>84.56</v>
      </c>
      <c r="H27" s="91">
        <f>(168.74+169.49)/2</f>
        <v>169.115</v>
      </c>
      <c r="I27" s="92" t="s">
        <v>56</v>
      </c>
      <c r="J27" s="161"/>
      <c r="K27" s="41">
        <v>1976</v>
      </c>
      <c r="L27" s="136"/>
      <c r="M27" s="128"/>
      <c r="N27" s="125"/>
      <c r="O27" s="128"/>
      <c r="P27" s="149"/>
      <c r="Q27" s="128"/>
      <c r="R27" s="179"/>
      <c r="S27" s="179"/>
      <c r="T27" s="182"/>
      <c r="U27" s="4"/>
      <c r="V27" s="4"/>
      <c r="W27" s="4"/>
      <c r="X27" s="4"/>
      <c r="Y27" s="4"/>
      <c r="Z27" s="4"/>
      <c r="AA27" s="4"/>
      <c r="AB27" s="4"/>
    </row>
    <row r="28" spans="1:28" s="6" customFormat="1" ht="12.75">
      <c r="A28" s="4"/>
      <c r="B28" s="138">
        <f>B24+1</f>
        <v>6</v>
      </c>
      <c r="C28" s="141" t="s">
        <v>10</v>
      </c>
      <c r="D28" s="141" t="s">
        <v>109</v>
      </c>
      <c r="E28" s="17" t="s">
        <v>9</v>
      </c>
      <c r="F28" s="85">
        <v>1</v>
      </c>
      <c r="G28" s="94">
        <v>77.43</v>
      </c>
      <c r="H28" s="94">
        <v>184.67</v>
      </c>
      <c r="I28" s="98"/>
      <c r="J28" s="176">
        <f>0.6*2</f>
        <v>1.2</v>
      </c>
      <c r="K28" s="7">
        <v>1975</v>
      </c>
      <c r="L28" s="143">
        <v>1968</v>
      </c>
      <c r="M28" s="127">
        <v>0.8513</v>
      </c>
      <c r="N28" s="127"/>
      <c r="O28" s="127"/>
      <c r="P28" s="127"/>
      <c r="Q28" s="127">
        <f>M28+N28+O28+P28</f>
        <v>0.8513</v>
      </c>
      <c r="R28" s="178" t="s">
        <v>49</v>
      </c>
      <c r="S28" s="178"/>
      <c r="T28" s="181"/>
      <c r="U28" s="4"/>
      <c r="V28" s="4"/>
      <c r="W28" s="4"/>
      <c r="X28" s="4"/>
      <c r="Y28" s="4"/>
      <c r="Z28" s="4"/>
      <c r="AA28" s="4"/>
      <c r="AB28" s="4"/>
    </row>
    <row r="29" spans="1:95" s="6" customFormat="1" ht="12.75" customHeight="1" thickBot="1">
      <c r="A29" s="8"/>
      <c r="B29" s="139"/>
      <c r="C29" s="142"/>
      <c r="D29" s="142"/>
      <c r="E29" s="37" t="s">
        <v>9</v>
      </c>
      <c r="F29" s="89">
        <v>1</v>
      </c>
      <c r="G29" s="99">
        <v>81.02</v>
      </c>
      <c r="H29" s="99">
        <v>176.5</v>
      </c>
      <c r="I29" s="100"/>
      <c r="J29" s="166"/>
      <c r="K29" s="61">
        <v>1975</v>
      </c>
      <c r="L29" s="136"/>
      <c r="M29" s="128"/>
      <c r="N29" s="128"/>
      <c r="O29" s="128"/>
      <c r="P29" s="128"/>
      <c r="Q29" s="128"/>
      <c r="R29" s="179"/>
      <c r="S29" s="179"/>
      <c r="T29" s="182"/>
      <c r="U29" s="4"/>
      <c r="V29" s="4"/>
      <c r="W29" s="4"/>
      <c r="X29" s="4"/>
      <c r="Y29" s="4"/>
      <c r="Z29" s="4"/>
      <c r="AA29" s="8"/>
      <c r="AB29" s="8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</row>
    <row r="30" spans="1:95" s="6" customFormat="1" ht="12.75" customHeight="1">
      <c r="A30" s="8"/>
      <c r="B30" s="137">
        <f>B28+1</f>
        <v>7</v>
      </c>
      <c r="C30" s="140" t="s">
        <v>11</v>
      </c>
      <c r="D30" s="140" t="s">
        <v>110</v>
      </c>
      <c r="E30" s="35" t="s">
        <v>40</v>
      </c>
      <c r="F30" s="81">
        <v>1</v>
      </c>
      <c r="G30" s="93">
        <f>(88.92+88.95)/2</f>
        <v>88.935</v>
      </c>
      <c r="H30" s="101">
        <f>(160.81+160.77)/2</f>
        <v>160.79000000000002</v>
      </c>
      <c r="I30" s="102" t="s">
        <v>54</v>
      </c>
      <c r="J30" s="165">
        <f>1.375*3</f>
        <v>4.125</v>
      </c>
      <c r="K30" s="40">
        <v>2008</v>
      </c>
      <c r="L30" s="135">
        <v>2008</v>
      </c>
      <c r="M30" s="126">
        <v>2.3777</v>
      </c>
      <c r="N30" s="123">
        <v>2.3253</v>
      </c>
      <c r="O30" s="123"/>
      <c r="P30" s="123"/>
      <c r="Q30" s="126">
        <f>M30+N30+O30+P30</f>
        <v>4.702999999999999</v>
      </c>
      <c r="R30" s="177" t="s">
        <v>49</v>
      </c>
      <c r="S30" s="177"/>
      <c r="T30" s="180"/>
      <c r="U30" s="4"/>
      <c r="V30" s="4"/>
      <c r="W30" s="4"/>
      <c r="X30" s="4"/>
      <c r="Y30" s="4"/>
      <c r="Z30" s="4"/>
      <c r="AA30" s="8"/>
      <c r="AB30" s="8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</row>
    <row r="31" spans="1:95" s="6" customFormat="1" ht="12.75" customHeight="1">
      <c r="A31" s="8"/>
      <c r="B31" s="138"/>
      <c r="C31" s="141"/>
      <c r="D31" s="141"/>
      <c r="E31" s="17" t="s">
        <v>40</v>
      </c>
      <c r="F31" s="85">
        <v>1</v>
      </c>
      <c r="G31" s="94">
        <f>(91.53+87.47)/2</f>
        <v>89.5</v>
      </c>
      <c r="H31" s="103">
        <f>(156.23+163.48)/2</f>
        <v>159.855</v>
      </c>
      <c r="I31" s="98" t="s">
        <v>54</v>
      </c>
      <c r="J31" s="176"/>
      <c r="K31" s="7">
        <v>2008</v>
      </c>
      <c r="L31" s="143"/>
      <c r="M31" s="127"/>
      <c r="N31" s="124"/>
      <c r="O31" s="124"/>
      <c r="P31" s="124"/>
      <c r="Q31" s="127"/>
      <c r="R31" s="178"/>
      <c r="S31" s="178"/>
      <c r="T31" s="181"/>
      <c r="U31" s="4"/>
      <c r="V31" s="4"/>
      <c r="W31" s="4"/>
      <c r="X31" s="4"/>
      <c r="Y31" s="4"/>
      <c r="Z31" s="4"/>
      <c r="AA31" s="8"/>
      <c r="AB31" s="8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</row>
    <row r="32" spans="1:23" s="6" customFormat="1" ht="13.5" thickBot="1">
      <c r="A32" s="4"/>
      <c r="B32" s="139"/>
      <c r="C32" s="142"/>
      <c r="D32" s="142"/>
      <c r="E32" s="37" t="s">
        <v>40</v>
      </c>
      <c r="F32" s="89">
        <v>1</v>
      </c>
      <c r="G32" s="99">
        <f>(89.29+86.16)/2</f>
        <v>87.725</v>
      </c>
      <c r="H32" s="99">
        <f>(160.15+165.97)/2</f>
        <v>163.06</v>
      </c>
      <c r="I32" s="100" t="s">
        <v>54</v>
      </c>
      <c r="J32" s="166"/>
      <c r="K32" s="42">
        <v>2008</v>
      </c>
      <c r="L32" s="136"/>
      <c r="M32" s="128"/>
      <c r="N32" s="125"/>
      <c r="O32" s="125"/>
      <c r="P32" s="125"/>
      <c r="Q32" s="128"/>
      <c r="R32" s="179"/>
      <c r="S32" s="179"/>
      <c r="T32" s="182"/>
      <c r="U32" s="4"/>
      <c r="V32" s="4"/>
      <c r="W32" s="4"/>
    </row>
    <row r="33" spans="1:23" s="6" customFormat="1" ht="12.75">
      <c r="A33" s="4"/>
      <c r="B33" s="137">
        <f>B30+1</f>
        <v>8</v>
      </c>
      <c r="C33" s="140" t="s">
        <v>79</v>
      </c>
      <c r="D33" s="140" t="s">
        <v>111</v>
      </c>
      <c r="E33" s="35" t="s">
        <v>9</v>
      </c>
      <c r="F33" s="104">
        <v>1</v>
      </c>
      <c r="G33" s="96">
        <v>82.5</v>
      </c>
      <c r="H33" s="93">
        <f>142.86/G33*100</f>
        <v>173.16363636363639</v>
      </c>
      <c r="I33" s="96"/>
      <c r="J33" s="165">
        <f>0.79+0.462+0.84+0.9*2</f>
        <v>3.8920000000000003</v>
      </c>
      <c r="K33" s="35">
        <v>1979</v>
      </c>
      <c r="L33" s="144">
        <v>1979</v>
      </c>
      <c r="M33" s="126">
        <v>1.1988</v>
      </c>
      <c r="N33" s="123">
        <v>0</v>
      </c>
      <c r="O33" s="123">
        <v>0</v>
      </c>
      <c r="P33" s="123">
        <v>0</v>
      </c>
      <c r="Q33" s="126">
        <f>M33+N33+O33+P33</f>
        <v>1.1988</v>
      </c>
      <c r="R33" s="177" t="s">
        <v>49</v>
      </c>
      <c r="S33" s="177"/>
      <c r="T33" s="180"/>
      <c r="U33" s="4"/>
      <c r="V33" s="4"/>
      <c r="W33" s="4"/>
    </row>
    <row r="34" spans="1:23" s="6" customFormat="1" ht="12.75">
      <c r="A34" s="4"/>
      <c r="B34" s="138"/>
      <c r="C34" s="141"/>
      <c r="D34" s="141"/>
      <c r="E34" s="17" t="s">
        <v>9</v>
      </c>
      <c r="F34" s="105">
        <v>1</v>
      </c>
      <c r="G34" s="86">
        <f>(83.28+82.19)/2</f>
        <v>82.735</v>
      </c>
      <c r="H34" s="94">
        <f>(171.72+173.99)/2</f>
        <v>172.85500000000002</v>
      </c>
      <c r="I34" s="95"/>
      <c r="J34" s="176"/>
      <c r="K34" s="17">
        <v>1981</v>
      </c>
      <c r="L34" s="145"/>
      <c r="M34" s="127"/>
      <c r="N34" s="124"/>
      <c r="O34" s="124"/>
      <c r="P34" s="124"/>
      <c r="Q34" s="127"/>
      <c r="R34" s="178"/>
      <c r="S34" s="178"/>
      <c r="T34" s="181"/>
      <c r="U34" s="4"/>
      <c r="V34" s="4"/>
      <c r="W34" s="4"/>
    </row>
    <row r="35" spans="1:23" s="6" customFormat="1" ht="12.75">
      <c r="A35" s="4"/>
      <c r="B35" s="138"/>
      <c r="C35" s="141"/>
      <c r="D35" s="141"/>
      <c r="E35" s="17" t="s">
        <v>9</v>
      </c>
      <c r="F35" s="105">
        <v>1</v>
      </c>
      <c r="G35" s="86">
        <f>(82.72+82.19)/2</f>
        <v>82.455</v>
      </c>
      <c r="H35" s="94">
        <f>(172.87+173.99)/2</f>
        <v>173.43</v>
      </c>
      <c r="I35" s="95"/>
      <c r="J35" s="176"/>
      <c r="K35" s="17">
        <v>1983</v>
      </c>
      <c r="L35" s="145"/>
      <c r="M35" s="127"/>
      <c r="N35" s="124"/>
      <c r="O35" s="124"/>
      <c r="P35" s="124"/>
      <c r="Q35" s="127"/>
      <c r="R35" s="178"/>
      <c r="S35" s="178"/>
      <c r="T35" s="181"/>
      <c r="U35" s="4"/>
      <c r="V35" s="4"/>
      <c r="W35" s="4"/>
    </row>
    <row r="36" spans="1:23" s="6" customFormat="1" ht="12.75">
      <c r="A36" s="4"/>
      <c r="B36" s="138"/>
      <c r="C36" s="141"/>
      <c r="D36" s="141"/>
      <c r="E36" s="17" t="s">
        <v>9</v>
      </c>
      <c r="F36" s="105">
        <v>1</v>
      </c>
      <c r="G36" s="86">
        <f>(82.48+82.22)/2</f>
        <v>82.35</v>
      </c>
      <c r="H36" s="94">
        <f>(173.37+173.92)/2</f>
        <v>173.64499999999998</v>
      </c>
      <c r="I36" s="95"/>
      <c r="J36" s="176"/>
      <c r="K36" s="17">
        <v>1979</v>
      </c>
      <c r="L36" s="145"/>
      <c r="M36" s="127"/>
      <c r="N36" s="124"/>
      <c r="O36" s="124"/>
      <c r="P36" s="124"/>
      <c r="Q36" s="127"/>
      <c r="R36" s="178"/>
      <c r="S36" s="178"/>
      <c r="T36" s="181"/>
      <c r="U36" s="4"/>
      <c r="V36" s="4"/>
      <c r="W36" s="4"/>
    </row>
    <row r="37" spans="1:28" s="6" customFormat="1" ht="13.5" thickBot="1">
      <c r="A37" s="4"/>
      <c r="B37" s="139"/>
      <c r="C37" s="142"/>
      <c r="D37" s="142"/>
      <c r="E37" s="37" t="s">
        <v>80</v>
      </c>
      <c r="F37" s="106">
        <v>1</v>
      </c>
      <c r="G37" s="90">
        <f>(82.49+82.32)/2</f>
        <v>82.405</v>
      </c>
      <c r="H37" s="99">
        <f>(173.36+173.71)/2</f>
        <v>173.53500000000003</v>
      </c>
      <c r="I37" s="107" t="s">
        <v>55</v>
      </c>
      <c r="J37" s="166"/>
      <c r="K37" s="38" t="s">
        <v>81</v>
      </c>
      <c r="L37" s="146"/>
      <c r="M37" s="128"/>
      <c r="N37" s="125"/>
      <c r="O37" s="125"/>
      <c r="P37" s="125"/>
      <c r="Q37" s="128"/>
      <c r="R37" s="179"/>
      <c r="S37" s="179"/>
      <c r="T37" s="182"/>
      <c r="U37" s="4"/>
      <c r="V37" s="4"/>
      <c r="W37" s="4"/>
      <c r="X37" s="4"/>
      <c r="Y37" s="4"/>
      <c r="Z37" s="4"/>
      <c r="AA37" s="4"/>
      <c r="AB37" s="4"/>
    </row>
    <row r="38" spans="1:28" s="6" customFormat="1" ht="12.75">
      <c r="A38" s="4"/>
      <c r="B38" s="150">
        <f>B33+1</f>
        <v>9</v>
      </c>
      <c r="C38" s="140" t="s">
        <v>12</v>
      </c>
      <c r="D38" s="140" t="s">
        <v>112</v>
      </c>
      <c r="E38" s="35" t="s">
        <v>92</v>
      </c>
      <c r="F38" s="81">
        <v>1</v>
      </c>
      <c r="G38" s="93">
        <f>(88+88.3+88.5+88.3)/4</f>
        <v>88.275</v>
      </c>
      <c r="H38" s="93">
        <f>(162.34+161.79+161.42+161.78)/4</f>
        <v>161.83249999999998</v>
      </c>
      <c r="I38" s="102" t="s">
        <v>50</v>
      </c>
      <c r="J38" s="43">
        <v>100</v>
      </c>
      <c r="K38" s="35">
        <v>1971</v>
      </c>
      <c r="L38" s="135">
        <v>1971</v>
      </c>
      <c r="M38" s="126">
        <v>58.0404</v>
      </c>
      <c r="N38" s="123">
        <v>14.2273</v>
      </c>
      <c r="O38" s="126">
        <v>0.5538</v>
      </c>
      <c r="P38" s="147"/>
      <c r="Q38" s="126">
        <f>M38+N38+O38+P38</f>
        <v>72.82149999999999</v>
      </c>
      <c r="R38" s="177" t="s">
        <v>49</v>
      </c>
      <c r="S38" s="177"/>
      <c r="T38" s="180"/>
      <c r="U38" s="4"/>
      <c r="V38" s="4"/>
      <c r="W38" s="4"/>
      <c r="X38" s="4"/>
      <c r="Y38" s="4"/>
      <c r="Z38" s="4"/>
      <c r="AA38" s="4"/>
      <c r="AB38" s="4"/>
    </row>
    <row r="39" spans="1:28" s="6" customFormat="1" ht="12.75">
      <c r="A39" s="4"/>
      <c r="B39" s="154"/>
      <c r="C39" s="141"/>
      <c r="D39" s="141"/>
      <c r="E39" s="17" t="s">
        <v>92</v>
      </c>
      <c r="F39" s="85">
        <v>1</v>
      </c>
      <c r="G39" s="94">
        <f>(89.34+89.39+89.3+88.36)/4</f>
        <v>89.09750000000001</v>
      </c>
      <c r="H39" s="94">
        <f>(159.91+159.82+159.98+161.68)/4</f>
        <v>160.34750000000003</v>
      </c>
      <c r="I39" s="98" t="s">
        <v>50</v>
      </c>
      <c r="J39" s="11"/>
      <c r="K39" s="17">
        <v>1971</v>
      </c>
      <c r="L39" s="143"/>
      <c r="M39" s="127"/>
      <c r="N39" s="124"/>
      <c r="O39" s="127"/>
      <c r="P39" s="148"/>
      <c r="Q39" s="127"/>
      <c r="R39" s="178"/>
      <c r="S39" s="178"/>
      <c r="T39" s="181"/>
      <c r="U39" s="4"/>
      <c r="V39" s="4"/>
      <c r="W39" s="4"/>
      <c r="X39" s="4"/>
      <c r="Y39" s="4"/>
      <c r="Z39" s="4"/>
      <c r="AA39" s="4"/>
      <c r="AB39" s="4"/>
    </row>
    <row r="40" spans="1:23" s="6" customFormat="1" ht="13.5" thickBot="1">
      <c r="A40" s="4"/>
      <c r="B40" s="151"/>
      <c r="C40" s="142"/>
      <c r="D40" s="142"/>
      <c r="E40" s="37" t="s">
        <v>91</v>
      </c>
      <c r="F40" s="89">
        <v>1</v>
      </c>
      <c r="G40" s="99">
        <f>(89.4+89.46+88.87+88.89)/4</f>
        <v>89.155</v>
      </c>
      <c r="H40" s="99">
        <f>(159.96+159.85+160.91+160.87)/4</f>
        <v>160.3975</v>
      </c>
      <c r="I40" s="90" t="s">
        <v>50</v>
      </c>
      <c r="J40" s="44">
        <v>6.5</v>
      </c>
      <c r="K40" s="37">
        <v>1996</v>
      </c>
      <c r="L40" s="136"/>
      <c r="M40" s="128"/>
      <c r="N40" s="125"/>
      <c r="O40" s="128"/>
      <c r="P40" s="149"/>
      <c r="Q40" s="128"/>
      <c r="R40" s="179"/>
      <c r="S40" s="179"/>
      <c r="T40" s="182"/>
      <c r="U40" s="4"/>
      <c r="V40" s="4"/>
      <c r="W40" s="4"/>
    </row>
    <row r="41" spans="1:23" s="6" customFormat="1" ht="12.75">
      <c r="A41" s="4"/>
      <c r="B41" s="150">
        <f>B38+1</f>
        <v>10</v>
      </c>
      <c r="C41" s="140" t="s">
        <v>72</v>
      </c>
      <c r="D41" s="63" t="s">
        <v>113</v>
      </c>
      <c r="E41" s="35" t="s">
        <v>73</v>
      </c>
      <c r="F41" s="81">
        <v>1</v>
      </c>
      <c r="G41" s="82">
        <f>(91.05+91.44+91.42)/3</f>
        <v>91.30333333333334</v>
      </c>
      <c r="H41" s="83">
        <f>(157.05+156.39+156.42)/3</f>
        <v>156.62</v>
      </c>
      <c r="I41" s="84" t="s">
        <v>51</v>
      </c>
      <c r="J41" s="159">
        <f>2.4+1.29</f>
        <v>3.69</v>
      </c>
      <c r="K41" s="39">
        <v>1969</v>
      </c>
      <c r="L41" s="135"/>
      <c r="M41" s="126">
        <v>1.7454</v>
      </c>
      <c r="N41" s="123">
        <v>0</v>
      </c>
      <c r="O41" s="123">
        <v>0</v>
      </c>
      <c r="P41" s="123">
        <v>0</v>
      </c>
      <c r="Q41" s="126">
        <f>M41+N41+O41+P41</f>
        <v>1.7454</v>
      </c>
      <c r="R41" s="177" t="s">
        <v>49</v>
      </c>
      <c r="S41" s="177"/>
      <c r="T41" s="180"/>
      <c r="U41" s="4"/>
      <c r="V41" s="4"/>
      <c r="W41" s="4"/>
    </row>
    <row r="42" spans="1:28" s="6" customFormat="1" ht="13.5" thickBot="1">
      <c r="A42" s="4"/>
      <c r="B42" s="151"/>
      <c r="C42" s="142"/>
      <c r="D42" s="64"/>
      <c r="E42" s="45" t="s">
        <v>95</v>
      </c>
      <c r="F42" s="89">
        <v>1</v>
      </c>
      <c r="G42" s="90">
        <f>(92+91)/2</f>
        <v>91.5</v>
      </c>
      <c r="H42" s="91">
        <f>(157.14+155.43)/2</f>
        <v>156.285</v>
      </c>
      <c r="I42" s="97" t="s">
        <v>94</v>
      </c>
      <c r="J42" s="161"/>
      <c r="K42" s="41">
        <v>2017</v>
      </c>
      <c r="L42" s="136"/>
      <c r="M42" s="128"/>
      <c r="N42" s="125"/>
      <c r="O42" s="125"/>
      <c r="P42" s="125"/>
      <c r="Q42" s="128"/>
      <c r="R42" s="179"/>
      <c r="S42" s="179"/>
      <c r="T42" s="182"/>
      <c r="U42" s="4"/>
      <c r="V42" s="4"/>
      <c r="W42" s="4"/>
      <c r="X42" s="4"/>
      <c r="Y42" s="4"/>
      <c r="Z42" s="4"/>
      <c r="AA42" s="8"/>
      <c r="AB42" s="5"/>
    </row>
    <row r="43" spans="1:28" s="6" customFormat="1" ht="12.75" customHeight="1">
      <c r="A43" s="4"/>
      <c r="B43" s="150">
        <f>B41+1</f>
        <v>11</v>
      </c>
      <c r="C43" s="140" t="s">
        <v>36</v>
      </c>
      <c r="D43" s="140" t="s">
        <v>114</v>
      </c>
      <c r="E43" s="35" t="s">
        <v>37</v>
      </c>
      <c r="F43" s="81">
        <v>1</v>
      </c>
      <c r="G43" s="93">
        <v>85.15</v>
      </c>
      <c r="H43" s="93">
        <v>167.94</v>
      </c>
      <c r="I43" s="84" t="s">
        <v>64</v>
      </c>
      <c r="J43" s="144">
        <f>0.043*2</f>
        <v>0.086</v>
      </c>
      <c r="K43" s="46" t="s">
        <v>34</v>
      </c>
      <c r="L43" s="135">
        <v>2008</v>
      </c>
      <c r="M43" s="126">
        <v>0</v>
      </c>
      <c r="N43" s="123">
        <v>0.1998</v>
      </c>
      <c r="O43" s="126">
        <v>0</v>
      </c>
      <c r="P43" s="147">
        <v>0</v>
      </c>
      <c r="Q43" s="126">
        <f>M43+N43+O43+P43</f>
        <v>0.1998</v>
      </c>
      <c r="R43" s="177" t="s">
        <v>49</v>
      </c>
      <c r="S43" s="177"/>
      <c r="T43" s="180"/>
      <c r="U43" s="4"/>
      <c r="V43" s="4"/>
      <c r="W43" s="4"/>
      <c r="X43" s="4"/>
      <c r="Y43" s="4"/>
      <c r="Z43" s="4"/>
      <c r="AA43" s="8"/>
      <c r="AB43" s="5"/>
    </row>
    <row r="44" spans="1:28" s="6" customFormat="1" ht="13.5" thickBot="1">
      <c r="A44" s="4"/>
      <c r="B44" s="151"/>
      <c r="C44" s="142"/>
      <c r="D44" s="142"/>
      <c r="E44" s="37" t="s">
        <v>37</v>
      </c>
      <c r="F44" s="89">
        <v>1</v>
      </c>
      <c r="G44" s="99">
        <v>85.17</v>
      </c>
      <c r="H44" s="99">
        <v>167.9</v>
      </c>
      <c r="I44" s="92" t="s">
        <v>64</v>
      </c>
      <c r="J44" s="146"/>
      <c r="K44" s="47" t="s">
        <v>34</v>
      </c>
      <c r="L44" s="136"/>
      <c r="M44" s="128"/>
      <c r="N44" s="125"/>
      <c r="O44" s="128"/>
      <c r="P44" s="149"/>
      <c r="Q44" s="128"/>
      <c r="R44" s="179"/>
      <c r="S44" s="179"/>
      <c r="T44" s="182"/>
      <c r="U44" s="4"/>
      <c r="V44" s="4"/>
      <c r="W44" s="4"/>
      <c r="X44" s="4"/>
      <c r="Y44" s="4"/>
      <c r="Z44" s="4"/>
      <c r="AA44" s="4"/>
      <c r="AB44" s="4"/>
    </row>
    <row r="45" spans="1:28" s="6" customFormat="1" ht="12.75">
      <c r="A45" s="4"/>
      <c r="B45" s="150">
        <f>B43+1</f>
        <v>12</v>
      </c>
      <c r="C45" s="140" t="s">
        <v>25</v>
      </c>
      <c r="D45" s="140" t="s">
        <v>115</v>
      </c>
      <c r="E45" s="35" t="s">
        <v>88</v>
      </c>
      <c r="F45" s="81">
        <v>1</v>
      </c>
      <c r="G45" s="93">
        <f>(77.99+79.43)/2</f>
        <v>78.71000000000001</v>
      </c>
      <c r="H45" s="93">
        <f>(183.36+180.04)/2</f>
        <v>181.7</v>
      </c>
      <c r="I45" s="84" t="s">
        <v>58</v>
      </c>
      <c r="J45" s="165">
        <f>0.6*2</f>
        <v>1.2</v>
      </c>
      <c r="K45" s="40">
        <v>1994</v>
      </c>
      <c r="L45" s="135">
        <v>1994</v>
      </c>
      <c r="M45" s="126">
        <v>0.2964</v>
      </c>
      <c r="N45" s="123">
        <v>0</v>
      </c>
      <c r="O45" s="123">
        <v>0</v>
      </c>
      <c r="P45" s="123">
        <v>0</v>
      </c>
      <c r="Q45" s="126">
        <f>M45+N45+O45+P45</f>
        <v>0.2964</v>
      </c>
      <c r="R45" s="177" t="s">
        <v>49</v>
      </c>
      <c r="S45" s="177"/>
      <c r="T45" s="180"/>
      <c r="U45" s="4"/>
      <c r="V45" s="4"/>
      <c r="W45" s="4"/>
      <c r="X45" s="4"/>
      <c r="Y45" s="4"/>
      <c r="Z45" s="4"/>
      <c r="AA45" s="4"/>
      <c r="AB45" s="4"/>
    </row>
    <row r="46" spans="1:28" s="6" customFormat="1" ht="13.5" thickBot="1">
      <c r="A46" s="4"/>
      <c r="B46" s="151"/>
      <c r="C46" s="142"/>
      <c r="D46" s="142"/>
      <c r="E46" s="37" t="s">
        <v>89</v>
      </c>
      <c r="F46" s="89">
        <v>1</v>
      </c>
      <c r="G46" s="99">
        <f>(78.44+82.25)/2</f>
        <v>80.345</v>
      </c>
      <c r="H46" s="99">
        <f>(182.3+173.87)/2</f>
        <v>178.085</v>
      </c>
      <c r="I46" s="92" t="s">
        <v>61</v>
      </c>
      <c r="J46" s="166"/>
      <c r="K46" s="42">
        <v>1994</v>
      </c>
      <c r="L46" s="136"/>
      <c r="M46" s="128"/>
      <c r="N46" s="125"/>
      <c r="O46" s="125"/>
      <c r="P46" s="125"/>
      <c r="Q46" s="128"/>
      <c r="R46" s="179"/>
      <c r="S46" s="179"/>
      <c r="T46" s="182"/>
      <c r="U46" s="4"/>
      <c r="V46" s="4"/>
      <c r="W46" s="4"/>
      <c r="X46" s="4"/>
      <c r="Y46" s="4"/>
      <c r="Z46" s="4"/>
      <c r="AA46" s="8"/>
      <c r="AB46" s="5"/>
    </row>
    <row r="47" spans="1:28" s="6" customFormat="1" ht="12.75">
      <c r="A47" s="4"/>
      <c r="B47" s="150">
        <f>B45+1</f>
        <v>13</v>
      </c>
      <c r="C47" s="140" t="s">
        <v>32</v>
      </c>
      <c r="D47" s="140" t="s">
        <v>116</v>
      </c>
      <c r="E47" s="35" t="s">
        <v>33</v>
      </c>
      <c r="F47" s="81">
        <v>1</v>
      </c>
      <c r="G47" s="93">
        <v>85.57</v>
      </c>
      <c r="H47" s="93">
        <v>167.11</v>
      </c>
      <c r="I47" s="84" t="s">
        <v>64</v>
      </c>
      <c r="J47" s="144">
        <f>0.086*2</f>
        <v>0.172</v>
      </c>
      <c r="K47" s="48" t="s">
        <v>34</v>
      </c>
      <c r="L47" s="135">
        <v>2008</v>
      </c>
      <c r="M47" s="126">
        <v>0.0802</v>
      </c>
      <c r="N47" s="123">
        <v>0</v>
      </c>
      <c r="O47" s="123">
        <v>0</v>
      </c>
      <c r="P47" s="123">
        <v>0</v>
      </c>
      <c r="Q47" s="126">
        <f>M47+N47+O47+P47</f>
        <v>0.0802</v>
      </c>
      <c r="R47" s="177" t="s">
        <v>49</v>
      </c>
      <c r="S47" s="177"/>
      <c r="T47" s="180"/>
      <c r="U47" s="4"/>
      <c r="V47" s="4"/>
      <c r="W47" s="4"/>
      <c r="X47" s="4"/>
      <c r="Y47" s="4"/>
      <c r="Z47" s="4"/>
      <c r="AA47" s="8"/>
      <c r="AB47" s="5"/>
    </row>
    <row r="48" spans="1:28" s="6" customFormat="1" ht="13.5" thickBot="1">
      <c r="A48" s="4"/>
      <c r="B48" s="151"/>
      <c r="C48" s="142"/>
      <c r="D48" s="142"/>
      <c r="E48" s="37" t="s">
        <v>33</v>
      </c>
      <c r="F48" s="89">
        <v>1</v>
      </c>
      <c r="G48" s="99">
        <v>85.78</v>
      </c>
      <c r="H48" s="99">
        <v>166.71</v>
      </c>
      <c r="I48" s="92" t="s">
        <v>64</v>
      </c>
      <c r="J48" s="146"/>
      <c r="K48" s="49" t="s">
        <v>34</v>
      </c>
      <c r="L48" s="136"/>
      <c r="M48" s="128"/>
      <c r="N48" s="125"/>
      <c r="O48" s="125"/>
      <c r="P48" s="125"/>
      <c r="Q48" s="128"/>
      <c r="R48" s="179"/>
      <c r="S48" s="179"/>
      <c r="T48" s="182"/>
      <c r="U48" s="4"/>
      <c r="V48" s="4"/>
      <c r="W48" s="4"/>
      <c r="X48" s="4"/>
      <c r="Y48" s="4"/>
      <c r="Z48" s="4"/>
      <c r="AA48" s="4"/>
      <c r="AB48" s="4"/>
    </row>
    <row r="49" spans="1:28" s="6" customFormat="1" ht="12.75">
      <c r="A49" s="4"/>
      <c r="B49" s="137">
        <f>B47+1</f>
        <v>14</v>
      </c>
      <c r="C49" s="140" t="s">
        <v>17</v>
      </c>
      <c r="D49" s="63" t="s">
        <v>117</v>
      </c>
      <c r="E49" s="35" t="s">
        <v>6</v>
      </c>
      <c r="F49" s="81">
        <v>1</v>
      </c>
      <c r="G49" s="93">
        <f>(79.12+79+79.24)/3</f>
        <v>79.12</v>
      </c>
      <c r="H49" s="93">
        <f>(180.74+181.02+180.46)/3</f>
        <v>180.74</v>
      </c>
      <c r="I49" s="84" t="s">
        <v>52</v>
      </c>
      <c r="J49" s="165">
        <f>1.5*3</f>
        <v>4.5</v>
      </c>
      <c r="K49" s="50">
        <v>1973</v>
      </c>
      <c r="L49" s="135">
        <v>1965</v>
      </c>
      <c r="M49" s="126">
        <v>2.3637</v>
      </c>
      <c r="N49" s="123">
        <v>0</v>
      </c>
      <c r="O49" s="123">
        <v>0</v>
      </c>
      <c r="P49" s="123">
        <v>0</v>
      </c>
      <c r="Q49" s="126">
        <f>M49+N49+O49+P49</f>
        <v>2.3637</v>
      </c>
      <c r="R49" s="177" t="s">
        <v>49</v>
      </c>
      <c r="S49" s="177"/>
      <c r="T49" s="180"/>
      <c r="U49" s="4"/>
      <c r="V49" s="4"/>
      <c r="W49" s="4"/>
      <c r="X49" s="4"/>
      <c r="Y49" s="4"/>
      <c r="Z49" s="4"/>
      <c r="AA49" s="4"/>
      <c r="AB49" s="4"/>
    </row>
    <row r="50" spans="1:28" s="6" customFormat="1" ht="12.75">
      <c r="A50" s="4"/>
      <c r="B50" s="138"/>
      <c r="C50" s="141"/>
      <c r="D50" s="32"/>
      <c r="E50" s="17" t="s">
        <v>6</v>
      </c>
      <c r="F50" s="85">
        <v>1</v>
      </c>
      <c r="G50" s="94">
        <f>(81.2+81.4+81)/3</f>
        <v>81.2</v>
      </c>
      <c r="H50" s="94">
        <f>(176.11+175.67+176.55)/3</f>
        <v>176.10999999999999</v>
      </c>
      <c r="I50" s="88" t="s">
        <v>52</v>
      </c>
      <c r="J50" s="176"/>
      <c r="K50" s="10">
        <v>2015</v>
      </c>
      <c r="L50" s="143"/>
      <c r="M50" s="127"/>
      <c r="N50" s="124"/>
      <c r="O50" s="124"/>
      <c r="P50" s="124"/>
      <c r="Q50" s="127"/>
      <c r="R50" s="178"/>
      <c r="S50" s="178"/>
      <c r="T50" s="181"/>
      <c r="U50" s="4"/>
      <c r="V50" s="4"/>
      <c r="W50" s="4"/>
      <c r="X50" s="4"/>
      <c r="Y50" s="4"/>
      <c r="Z50" s="4"/>
      <c r="AA50" s="4"/>
      <c r="AB50" s="4"/>
    </row>
    <row r="51" spans="1:23" s="6" customFormat="1" ht="13.5" thickBot="1">
      <c r="A51" s="4"/>
      <c r="B51" s="139"/>
      <c r="C51" s="142"/>
      <c r="D51" s="64"/>
      <c r="E51" s="37" t="s">
        <v>6</v>
      </c>
      <c r="F51" s="89">
        <v>1</v>
      </c>
      <c r="G51" s="99">
        <f>(80.08+80.16+80.24)/3</f>
        <v>80.16000000000001</v>
      </c>
      <c r="H51" s="99">
        <f>(178.57+178.39+178.22)/3</f>
        <v>178.39333333333332</v>
      </c>
      <c r="I51" s="92" t="s">
        <v>52</v>
      </c>
      <c r="J51" s="166"/>
      <c r="K51" s="51">
        <v>2014</v>
      </c>
      <c r="L51" s="136"/>
      <c r="M51" s="128"/>
      <c r="N51" s="125"/>
      <c r="O51" s="125"/>
      <c r="P51" s="125"/>
      <c r="Q51" s="128"/>
      <c r="R51" s="179"/>
      <c r="S51" s="179"/>
      <c r="T51" s="182"/>
      <c r="U51" s="4"/>
      <c r="V51" s="8"/>
      <c r="W51" s="5"/>
    </row>
    <row r="52" spans="1:23" s="6" customFormat="1" ht="12.75" customHeight="1">
      <c r="A52" s="4"/>
      <c r="B52" s="150">
        <f>B49+1</f>
        <v>15</v>
      </c>
      <c r="C52" s="140" t="s">
        <v>77</v>
      </c>
      <c r="D52" s="140" t="s">
        <v>77</v>
      </c>
      <c r="E52" s="35" t="s">
        <v>78</v>
      </c>
      <c r="F52" s="81">
        <v>1</v>
      </c>
      <c r="G52" s="82">
        <f>(87.99+91.65)/2</f>
        <v>89.82</v>
      </c>
      <c r="H52" s="83">
        <f>(162.51+156.02)/2</f>
        <v>159.265</v>
      </c>
      <c r="I52" s="84" t="s">
        <v>53</v>
      </c>
      <c r="J52" s="152">
        <f>0.25*2</f>
        <v>0.5</v>
      </c>
      <c r="K52" s="48">
        <v>2007</v>
      </c>
      <c r="L52" s="135">
        <v>2007</v>
      </c>
      <c r="M52" s="126">
        <v>0.215</v>
      </c>
      <c r="N52" s="123">
        <v>0</v>
      </c>
      <c r="O52" s="123">
        <v>0</v>
      </c>
      <c r="P52" s="123">
        <v>0</v>
      </c>
      <c r="Q52" s="126">
        <f>M52+N52+O52+P52</f>
        <v>0.215</v>
      </c>
      <c r="R52" s="183" t="s">
        <v>49</v>
      </c>
      <c r="S52" s="183"/>
      <c r="T52" s="185"/>
      <c r="U52" s="4"/>
      <c r="V52" s="5"/>
      <c r="W52" s="5"/>
    </row>
    <row r="53" spans="1:28" s="6" customFormat="1" ht="13.5" thickBot="1">
      <c r="A53" s="4"/>
      <c r="B53" s="151"/>
      <c r="C53" s="142"/>
      <c r="D53" s="142"/>
      <c r="E53" s="37" t="s">
        <v>78</v>
      </c>
      <c r="F53" s="89">
        <v>1</v>
      </c>
      <c r="G53" s="90">
        <f>(88.41+91.36)/2</f>
        <v>89.88499999999999</v>
      </c>
      <c r="H53" s="91">
        <f>(161.75+156.52)/2</f>
        <v>159.135</v>
      </c>
      <c r="I53" s="92" t="s">
        <v>53</v>
      </c>
      <c r="J53" s="153"/>
      <c r="K53" s="49">
        <v>2007</v>
      </c>
      <c r="L53" s="136"/>
      <c r="M53" s="128"/>
      <c r="N53" s="125"/>
      <c r="O53" s="125"/>
      <c r="P53" s="125"/>
      <c r="Q53" s="128"/>
      <c r="R53" s="184"/>
      <c r="S53" s="184"/>
      <c r="T53" s="186"/>
      <c r="U53" s="4"/>
      <c r="V53" s="4"/>
      <c r="W53" s="4"/>
      <c r="X53" s="4"/>
      <c r="Y53" s="4"/>
      <c r="Z53" s="4"/>
      <c r="AA53" s="4"/>
      <c r="AB53" s="4"/>
    </row>
    <row r="54" spans="1:28" s="6" customFormat="1" ht="12.75">
      <c r="A54" s="4"/>
      <c r="B54" s="150">
        <f>B52+1</f>
        <v>16</v>
      </c>
      <c r="C54" s="140" t="s">
        <v>48</v>
      </c>
      <c r="D54" s="140" t="s">
        <v>118</v>
      </c>
      <c r="E54" s="35" t="s">
        <v>80</v>
      </c>
      <c r="F54" s="81">
        <v>1</v>
      </c>
      <c r="G54" s="93">
        <f>(80.82+82.07)/2</f>
        <v>81.445</v>
      </c>
      <c r="H54" s="93">
        <f>(176.93+174.23)/2</f>
        <v>175.57999999999998</v>
      </c>
      <c r="I54" s="84" t="s">
        <v>62</v>
      </c>
      <c r="J54" s="159">
        <f>0.5+0.5</f>
        <v>1</v>
      </c>
      <c r="K54" s="40">
        <v>1981</v>
      </c>
      <c r="L54" s="135">
        <v>1975</v>
      </c>
      <c r="M54" s="126">
        <v>0.6214</v>
      </c>
      <c r="N54" s="123">
        <v>0</v>
      </c>
      <c r="O54" s="123">
        <v>0</v>
      </c>
      <c r="P54" s="123">
        <v>0</v>
      </c>
      <c r="Q54" s="126">
        <f>M54+N54+O54+P54</f>
        <v>0.6214</v>
      </c>
      <c r="R54" s="177" t="s">
        <v>49</v>
      </c>
      <c r="S54" s="177"/>
      <c r="T54" s="180"/>
      <c r="U54" s="4"/>
      <c r="V54" s="4"/>
      <c r="W54" s="4"/>
      <c r="X54" s="4"/>
      <c r="Y54" s="4"/>
      <c r="Z54" s="4"/>
      <c r="AA54" s="4"/>
      <c r="AB54" s="4"/>
    </row>
    <row r="55" spans="1:23" s="6" customFormat="1" ht="13.5" thickBot="1">
      <c r="A55" s="4"/>
      <c r="B55" s="151"/>
      <c r="C55" s="142"/>
      <c r="D55" s="142"/>
      <c r="E55" s="37" t="s">
        <v>80</v>
      </c>
      <c r="F55" s="89">
        <v>1</v>
      </c>
      <c r="G55" s="99">
        <v>84.6</v>
      </c>
      <c r="H55" s="99">
        <v>169.04</v>
      </c>
      <c r="I55" s="92"/>
      <c r="J55" s="161"/>
      <c r="K55" s="42">
        <v>2016</v>
      </c>
      <c r="L55" s="136"/>
      <c r="M55" s="128"/>
      <c r="N55" s="125"/>
      <c r="O55" s="125"/>
      <c r="P55" s="125"/>
      <c r="Q55" s="128"/>
      <c r="R55" s="179"/>
      <c r="S55" s="179"/>
      <c r="T55" s="182"/>
      <c r="U55" s="4"/>
      <c r="V55" s="4"/>
      <c r="W55" s="4"/>
    </row>
    <row r="56" spans="1:23" s="6" customFormat="1" ht="12.75">
      <c r="A56" s="4"/>
      <c r="B56" s="150">
        <f>B54+1</f>
        <v>17</v>
      </c>
      <c r="C56" s="140" t="s">
        <v>71</v>
      </c>
      <c r="D56" s="140" t="s">
        <v>119</v>
      </c>
      <c r="E56" s="52" t="s">
        <v>9</v>
      </c>
      <c r="F56" s="81">
        <v>1</v>
      </c>
      <c r="G56" s="82">
        <f>(78.81+80.4)/2</f>
        <v>79.605</v>
      </c>
      <c r="H56" s="83">
        <f>(181.45+177.87)/2</f>
        <v>179.66</v>
      </c>
      <c r="I56" s="84"/>
      <c r="J56" s="173">
        <f>0.583+0.61+0.583+0.63</f>
        <v>2.406</v>
      </c>
      <c r="K56" s="39">
        <v>2017</v>
      </c>
      <c r="L56" s="135">
        <v>1985</v>
      </c>
      <c r="M56" s="126">
        <v>2.3484</v>
      </c>
      <c r="N56" s="123">
        <v>0.8431</v>
      </c>
      <c r="O56" s="126">
        <v>0</v>
      </c>
      <c r="P56" s="147">
        <v>0</v>
      </c>
      <c r="Q56" s="126">
        <f>M56+N56+O56+P56</f>
        <v>3.1914999999999996</v>
      </c>
      <c r="R56" s="177" t="s">
        <v>49</v>
      </c>
      <c r="S56" s="177"/>
      <c r="T56" s="180"/>
      <c r="U56" s="4"/>
      <c r="V56" s="4"/>
      <c r="W56" s="4"/>
    </row>
    <row r="57" spans="1:23" s="6" customFormat="1" ht="12.75">
      <c r="A57" s="4"/>
      <c r="B57" s="154"/>
      <c r="C57" s="141"/>
      <c r="D57" s="141"/>
      <c r="E57" s="17" t="s">
        <v>9</v>
      </c>
      <c r="F57" s="85">
        <v>1</v>
      </c>
      <c r="G57" s="86">
        <f>(81.51+83.16)/2</f>
        <v>82.33500000000001</v>
      </c>
      <c r="H57" s="87">
        <f>(175.43+171.95)/2</f>
        <v>173.69</v>
      </c>
      <c r="I57" s="88"/>
      <c r="J57" s="174"/>
      <c r="K57" s="5">
        <v>1985</v>
      </c>
      <c r="L57" s="143"/>
      <c r="M57" s="127"/>
      <c r="N57" s="124"/>
      <c r="O57" s="127"/>
      <c r="P57" s="148"/>
      <c r="Q57" s="127"/>
      <c r="R57" s="178"/>
      <c r="S57" s="178"/>
      <c r="T57" s="181"/>
      <c r="U57" s="4"/>
      <c r="V57" s="4"/>
      <c r="W57" s="4"/>
    </row>
    <row r="58" spans="1:23" s="6" customFormat="1" ht="12.75">
      <c r="A58" s="4"/>
      <c r="B58" s="154"/>
      <c r="C58" s="141"/>
      <c r="D58" s="141"/>
      <c r="E58" s="17" t="s">
        <v>9</v>
      </c>
      <c r="F58" s="85">
        <v>1</v>
      </c>
      <c r="G58" s="86">
        <f>(77.52+78.87)/2</f>
        <v>78.195</v>
      </c>
      <c r="H58" s="87">
        <f>(184.47+181.3)/2</f>
        <v>182.885</v>
      </c>
      <c r="I58" s="88"/>
      <c r="J58" s="174"/>
      <c r="K58" s="5">
        <v>1985</v>
      </c>
      <c r="L58" s="143"/>
      <c r="M58" s="127"/>
      <c r="N58" s="124"/>
      <c r="O58" s="127"/>
      <c r="P58" s="148"/>
      <c r="Q58" s="127"/>
      <c r="R58" s="178"/>
      <c r="S58" s="178"/>
      <c r="T58" s="181"/>
      <c r="U58" s="4"/>
      <c r="V58" s="4"/>
      <c r="W58" s="4"/>
    </row>
    <row r="59" spans="1:23" s="6" customFormat="1" ht="12.75" customHeight="1" thickBot="1">
      <c r="A59" s="4"/>
      <c r="B59" s="151"/>
      <c r="C59" s="142"/>
      <c r="D59" s="142"/>
      <c r="E59" s="37" t="s">
        <v>9</v>
      </c>
      <c r="F59" s="89">
        <v>1</v>
      </c>
      <c r="G59" s="90">
        <f>(76.97+79.01)/2</f>
        <v>77.99000000000001</v>
      </c>
      <c r="H59" s="91">
        <f>(185.79+180.99)/2</f>
        <v>183.39</v>
      </c>
      <c r="I59" s="92"/>
      <c r="J59" s="175"/>
      <c r="K59" s="41">
        <v>1985</v>
      </c>
      <c r="L59" s="136"/>
      <c r="M59" s="128"/>
      <c r="N59" s="125"/>
      <c r="O59" s="128"/>
      <c r="P59" s="149"/>
      <c r="Q59" s="128"/>
      <c r="R59" s="179"/>
      <c r="S59" s="179"/>
      <c r="T59" s="182"/>
      <c r="U59" s="4"/>
      <c r="V59" s="4"/>
      <c r="W59" s="4"/>
    </row>
    <row r="60" spans="1:23" s="6" customFormat="1" ht="12.75">
      <c r="A60" s="4"/>
      <c r="B60" s="137">
        <f>B56+1</f>
        <v>18</v>
      </c>
      <c r="C60" s="140" t="s">
        <v>66</v>
      </c>
      <c r="D60" s="140" t="s">
        <v>120</v>
      </c>
      <c r="E60" s="35" t="s">
        <v>6</v>
      </c>
      <c r="F60" s="81">
        <v>1</v>
      </c>
      <c r="G60" s="82">
        <f>(84.82+84.55)/2</f>
        <v>84.685</v>
      </c>
      <c r="H60" s="83">
        <f>(168.59+169.13)/2</f>
        <v>168.86</v>
      </c>
      <c r="I60" s="84" t="s">
        <v>67</v>
      </c>
      <c r="J60" s="152">
        <f>1.5+0.6*4</f>
        <v>3.9</v>
      </c>
      <c r="K60" s="39">
        <v>1980</v>
      </c>
      <c r="L60" s="135">
        <v>1972</v>
      </c>
      <c r="M60" s="126">
        <v>1.5634</v>
      </c>
      <c r="N60" s="123">
        <v>0.4263</v>
      </c>
      <c r="O60" s="126">
        <v>0</v>
      </c>
      <c r="P60" s="147">
        <v>0</v>
      </c>
      <c r="Q60" s="126">
        <f>M60+N60+O60+P60</f>
        <v>1.9897</v>
      </c>
      <c r="R60" s="177" t="s">
        <v>49</v>
      </c>
      <c r="S60" s="177"/>
      <c r="T60" s="180"/>
      <c r="U60" s="4"/>
      <c r="V60" s="4"/>
      <c r="W60" s="4"/>
    </row>
    <row r="61" spans="1:23" s="6" customFormat="1" ht="12.75">
      <c r="A61" s="4"/>
      <c r="B61" s="138"/>
      <c r="C61" s="141"/>
      <c r="D61" s="141"/>
      <c r="E61" s="17" t="s">
        <v>90</v>
      </c>
      <c r="F61" s="85">
        <v>1</v>
      </c>
      <c r="G61" s="86">
        <f>(84.9+84.83)/2</f>
        <v>84.86500000000001</v>
      </c>
      <c r="H61" s="87">
        <f>(168.43+168.57)/2</f>
        <v>168.5</v>
      </c>
      <c r="I61" s="88" t="s">
        <v>57</v>
      </c>
      <c r="J61" s="158"/>
      <c r="K61" s="5">
        <v>1972</v>
      </c>
      <c r="L61" s="143"/>
      <c r="M61" s="127"/>
      <c r="N61" s="124"/>
      <c r="O61" s="127"/>
      <c r="P61" s="148"/>
      <c r="Q61" s="127"/>
      <c r="R61" s="178"/>
      <c r="S61" s="178"/>
      <c r="T61" s="181"/>
      <c r="U61" s="4"/>
      <c r="V61" s="4"/>
      <c r="W61" s="4"/>
    </row>
    <row r="62" spans="1:23" s="6" customFormat="1" ht="12.75">
      <c r="A62" s="4"/>
      <c r="B62" s="138"/>
      <c r="C62" s="141"/>
      <c r="D62" s="141"/>
      <c r="E62" s="17" t="s">
        <v>90</v>
      </c>
      <c r="F62" s="108">
        <v>1</v>
      </c>
      <c r="G62" s="95">
        <f>(84.47+84.61)/2</f>
        <v>84.53999999999999</v>
      </c>
      <c r="H62" s="87">
        <f>(169.29+169.01)/2</f>
        <v>169.14999999999998</v>
      </c>
      <c r="I62" s="88" t="s">
        <v>57</v>
      </c>
      <c r="J62" s="158"/>
      <c r="K62" s="5">
        <v>1972</v>
      </c>
      <c r="L62" s="143"/>
      <c r="M62" s="127"/>
      <c r="N62" s="124"/>
      <c r="O62" s="127"/>
      <c r="P62" s="148"/>
      <c r="Q62" s="127"/>
      <c r="R62" s="178"/>
      <c r="S62" s="178"/>
      <c r="T62" s="181"/>
      <c r="U62" s="4"/>
      <c r="V62" s="4"/>
      <c r="W62" s="4"/>
    </row>
    <row r="63" spans="1:23" s="6" customFormat="1" ht="12.75">
      <c r="A63" s="4"/>
      <c r="B63" s="138"/>
      <c r="C63" s="141"/>
      <c r="D63" s="141"/>
      <c r="E63" s="17" t="s">
        <v>90</v>
      </c>
      <c r="F63" s="85">
        <v>1</v>
      </c>
      <c r="G63" s="95">
        <f>(84.65+84.45)/2</f>
        <v>84.55000000000001</v>
      </c>
      <c r="H63" s="87">
        <f>(168.94+169.33)/2</f>
        <v>169.135</v>
      </c>
      <c r="I63" s="88" t="s">
        <v>57</v>
      </c>
      <c r="J63" s="158"/>
      <c r="K63" s="5">
        <v>1972</v>
      </c>
      <c r="L63" s="143"/>
      <c r="M63" s="127"/>
      <c r="N63" s="124"/>
      <c r="O63" s="127"/>
      <c r="P63" s="148"/>
      <c r="Q63" s="127"/>
      <c r="R63" s="178"/>
      <c r="S63" s="178"/>
      <c r="T63" s="181"/>
      <c r="U63" s="4"/>
      <c r="V63" s="4"/>
      <c r="W63" s="4"/>
    </row>
    <row r="64" spans="1:28" s="6" customFormat="1" ht="13.5" thickBot="1">
      <c r="A64" s="4"/>
      <c r="B64" s="139"/>
      <c r="C64" s="142"/>
      <c r="D64" s="142"/>
      <c r="E64" s="37" t="s">
        <v>90</v>
      </c>
      <c r="F64" s="89">
        <v>1</v>
      </c>
      <c r="G64" s="97">
        <f>(84.9+84.68)/2</f>
        <v>84.79</v>
      </c>
      <c r="H64" s="91">
        <f>(168.43+168.87)/2</f>
        <v>168.65</v>
      </c>
      <c r="I64" s="92" t="s">
        <v>57</v>
      </c>
      <c r="J64" s="153"/>
      <c r="K64" s="41">
        <v>1972</v>
      </c>
      <c r="L64" s="136"/>
      <c r="M64" s="128"/>
      <c r="N64" s="125"/>
      <c r="O64" s="128"/>
      <c r="P64" s="149"/>
      <c r="Q64" s="128"/>
      <c r="R64" s="179"/>
      <c r="S64" s="179"/>
      <c r="T64" s="182"/>
      <c r="U64" s="4"/>
      <c r="V64" s="4"/>
      <c r="W64" s="4"/>
      <c r="X64" s="4"/>
      <c r="Y64" s="4"/>
      <c r="Z64" s="4"/>
      <c r="AA64" s="4"/>
      <c r="AB64" s="4"/>
    </row>
    <row r="65" spans="1:28" s="6" customFormat="1" ht="12.75">
      <c r="A65" s="4"/>
      <c r="B65" s="150">
        <f>B60+1</f>
        <v>19</v>
      </c>
      <c r="C65" s="140" t="s">
        <v>26</v>
      </c>
      <c r="D65" s="140" t="s">
        <v>121</v>
      </c>
      <c r="E65" s="35" t="s">
        <v>9</v>
      </c>
      <c r="F65" s="81">
        <v>1</v>
      </c>
      <c r="G65" s="93">
        <v>82.47</v>
      </c>
      <c r="H65" s="93">
        <v>173.39</v>
      </c>
      <c r="I65" s="84"/>
      <c r="J65" s="159">
        <f>0.533*3</f>
        <v>1.5990000000000002</v>
      </c>
      <c r="K65" s="40">
        <v>1974</v>
      </c>
      <c r="L65" s="135">
        <v>1974</v>
      </c>
      <c r="M65" s="126">
        <v>1.2131</v>
      </c>
      <c r="N65" s="123">
        <v>0</v>
      </c>
      <c r="O65" s="123">
        <v>0</v>
      </c>
      <c r="P65" s="123">
        <v>0</v>
      </c>
      <c r="Q65" s="126">
        <f>M65+N65+O65+P65</f>
        <v>1.2131</v>
      </c>
      <c r="R65" s="177" t="s">
        <v>49</v>
      </c>
      <c r="S65" s="177"/>
      <c r="T65" s="180"/>
      <c r="U65" s="4"/>
      <c r="V65" s="4"/>
      <c r="W65" s="4"/>
      <c r="X65" s="4"/>
      <c r="Y65" s="4"/>
      <c r="Z65" s="4"/>
      <c r="AA65" s="4"/>
      <c r="AB65" s="4"/>
    </row>
    <row r="66" spans="1:28" s="6" customFormat="1" ht="12.75" customHeight="1">
      <c r="A66" s="4"/>
      <c r="B66" s="154"/>
      <c r="C66" s="141"/>
      <c r="D66" s="141"/>
      <c r="E66" s="17" t="s">
        <v>9</v>
      </c>
      <c r="F66" s="85">
        <v>1</v>
      </c>
      <c r="G66" s="94">
        <v>80.3</v>
      </c>
      <c r="H66" s="94">
        <v>178.09</v>
      </c>
      <c r="I66" s="88"/>
      <c r="J66" s="160"/>
      <c r="K66" s="7">
        <v>1974</v>
      </c>
      <c r="L66" s="143"/>
      <c r="M66" s="127"/>
      <c r="N66" s="124"/>
      <c r="O66" s="124"/>
      <c r="P66" s="124"/>
      <c r="Q66" s="127"/>
      <c r="R66" s="178"/>
      <c r="S66" s="178"/>
      <c r="T66" s="181"/>
      <c r="U66" s="4"/>
      <c r="V66" s="4"/>
      <c r="W66" s="4"/>
      <c r="X66" s="4"/>
      <c r="Y66" s="4"/>
      <c r="Z66" s="4"/>
      <c r="AA66" s="4"/>
      <c r="AB66" s="4"/>
    </row>
    <row r="67" spans="1:28" s="6" customFormat="1" ht="13.5" thickBot="1">
      <c r="A67" s="4"/>
      <c r="B67" s="151"/>
      <c r="C67" s="142"/>
      <c r="D67" s="142"/>
      <c r="E67" s="45" t="s">
        <v>9</v>
      </c>
      <c r="F67" s="89">
        <v>1</v>
      </c>
      <c r="G67" s="99">
        <v>81.25</v>
      </c>
      <c r="H67" s="99">
        <v>176</v>
      </c>
      <c r="I67" s="92"/>
      <c r="J67" s="161"/>
      <c r="K67" s="42">
        <v>2016</v>
      </c>
      <c r="L67" s="136"/>
      <c r="M67" s="128"/>
      <c r="N67" s="125"/>
      <c r="O67" s="125"/>
      <c r="P67" s="125"/>
      <c r="Q67" s="128"/>
      <c r="R67" s="179"/>
      <c r="S67" s="179"/>
      <c r="T67" s="182"/>
      <c r="U67" s="4"/>
      <c r="V67" s="4"/>
      <c r="W67" s="4"/>
      <c r="X67" s="4"/>
      <c r="Y67" s="4"/>
      <c r="Z67" s="4"/>
      <c r="AA67" s="8"/>
      <c r="AB67" s="5"/>
    </row>
    <row r="68" spans="1:28" s="6" customFormat="1" ht="12.75">
      <c r="A68" s="4"/>
      <c r="B68" s="150">
        <f>B65+1</f>
        <v>20</v>
      </c>
      <c r="C68" s="140" t="s">
        <v>31</v>
      </c>
      <c r="D68" s="140" t="s">
        <v>122</v>
      </c>
      <c r="E68" s="35" t="s">
        <v>47</v>
      </c>
      <c r="F68" s="81">
        <v>1</v>
      </c>
      <c r="G68" s="93">
        <f>(89.2+89.81)/2</f>
        <v>89.505</v>
      </c>
      <c r="H68" s="93">
        <f>(160.31+159.23)/2</f>
        <v>159.76999999999998</v>
      </c>
      <c r="I68" s="84" t="s">
        <v>59</v>
      </c>
      <c r="J68" s="159">
        <f>0.54*2</f>
        <v>1.08</v>
      </c>
      <c r="K68" s="46" t="s">
        <v>30</v>
      </c>
      <c r="L68" s="135">
        <v>2006</v>
      </c>
      <c r="M68" s="126">
        <v>0.7184</v>
      </c>
      <c r="N68" s="123">
        <v>0</v>
      </c>
      <c r="O68" s="123">
        <v>0</v>
      </c>
      <c r="P68" s="123">
        <v>0</v>
      </c>
      <c r="Q68" s="126">
        <f>M68+N68+O68+P68</f>
        <v>0.7184</v>
      </c>
      <c r="R68" s="177" t="s">
        <v>49</v>
      </c>
      <c r="S68" s="177"/>
      <c r="T68" s="180"/>
      <c r="U68" s="4"/>
      <c r="V68" s="4"/>
      <c r="W68" s="4"/>
      <c r="X68" s="4"/>
      <c r="Y68" s="4"/>
      <c r="Z68" s="4"/>
      <c r="AA68" s="5"/>
      <c r="AB68" s="5"/>
    </row>
    <row r="69" spans="1:28" s="6" customFormat="1" ht="13.5" thickBot="1">
      <c r="A69" s="4"/>
      <c r="B69" s="151"/>
      <c r="C69" s="142"/>
      <c r="D69" s="142"/>
      <c r="E69" s="45" t="s">
        <v>47</v>
      </c>
      <c r="F69" s="89">
        <v>1</v>
      </c>
      <c r="G69" s="99">
        <f>(91.07+91.49)/2</f>
        <v>91.28</v>
      </c>
      <c r="H69" s="99">
        <f>(157.01+156.3)/2</f>
        <v>156.655</v>
      </c>
      <c r="I69" s="92" t="s">
        <v>59</v>
      </c>
      <c r="J69" s="161"/>
      <c r="K69" s="47" t="s">
        <v>93</v>
      </c>
      <c r="L69" s="136"/>
      <c r="M69" s="128"/>
      <c r="N69" s="125"/>
      <c r="O69" s="125"/>
      <c r="P69" s="125"/>
      <c r="Q69" s="128"/>
      <c r="R69" s="179"/>
      <c r="S69" s="179"/>
      <c r="T69" s="182"/>
      <c r="U69" s="4"/>
      <c r="V69" s="4"/>
      <c r="W69" s="4"/>
      <c r="X69" s="4"/>
      <c r="Y69" s="4"/>
      <c r="Z69" s="4"/>
      <c r="AA69" s="8"/>
      <c r="AB69" s="5"/>
    </row>
    <row r="70" spans="1:28" s="6" customFormat="1" ht="12.75">
      <c r="A70" s="4"/>
      <c r="B70" s="150">
        <f>B68+1</f>
        <v>21</v>
      </c>
      <c r="C70" s="140" t="s">
        <v>29</v>
      </c>
      <c r="D70" s="140" t="s">
        <v>136</v>
      </c>
      <c r="E70" s="35" t="s">
        <v>46</v>
      </c>
      <c r="F70" s="81">
        <v>1</v>
      </c>
      <c r="G70" s="93">
        <f>(87.5+91.88)/2</f>
        <v>89.69</v>
      </c>
      <c r="H70" s="93">
        <f>(163.43+155.64)/2</f>
        <v>159.535</v>
      </c>
      <c r="I70" s="84" t="s">
        <v>59</v>
      </c>
      <c r="J70" s="165">
        <f>0.4385*2</f>
        <v>0.877</v>
      </c>
      <c r="K70" s="46" t="s">
        <v>30</v>
      </c>
      <c r="L70" s="135">
        <v>2006</v>
      </c>
      <c r="M70" s="126">
        <v>0.16313</v>
      </c>
      <c r="N70" s="123">
        <v>0.34</v>
      </c>
      <c r="O70" s="126">
        <v>0.3325</v>
      </c>
      <c r="P70" s="147">
        <v>0</v>
      </c>
      <c r="Q70" s="126">
        <f>M70+N70+O70+P70</f>
        <v>0.8356300000000001</v>
      </c>
      <c r="R70" s="177" t="s">
        <v>49</v>
      </c>
      <c r="S70" s="177"/>
      <c r="T70" s="180"/>
      <c r="U70" s="4"/>
      <c r="V70" s="4"/>
      <c r="W70" s="4"/>
      <c r="X70" s="4"/>
      <c r="Y70" s="4"/>
      <c r="Z70" s="4"/>
      <c r="AA70" s="5"/>
      <c r="AB70" s="5"/>
    </row>
    <row r="71" spans="1:28" s="6" customFormat="1" ht="13.5" thickBot="1">
      <c r="A71" s="4"/>
      <c r="B71" s="151"/>
      <c r="C71" s="142"/>
      <c r="D71" s="142"/>
      <c r="E71" s="37" t="s">
        <v>46</v>
      </c>
      <c r="F71" s="89">
        <v>1</v>
      </c>
      <c r="G71" s="99">
        <f>(87.32+91.26)/2</f>
        <v>89.28999999999999</v>
      </c>
      <c r="H71" s="99">
        <f>(163.77+156.69)/2</f>
        <v>160.23000000000002</v>
      </c>
      <c r="I71" s="92" t="s">
        <v>59</v>
      </c>
      <c r="J71" s="166"/>
      <c r="K71" s="47" t="s">
        <v>30</v>
      </c>
      <c r="L71" s="136"/>
      <c r="M71" s="128"/>
      <c r="N71" s="125"/>
      <c r="O71" s="128"/>
      <c r="P71" s="149"/>
      <c r="Q71" s="128"/>
      <c r="R71" s="179"/>
      <c r="S71" s="179"/>
      <c r="T71" s="182"/>
      <c r="U71" s="4"/>
      <c r="V71" s="4"/>
      <c r="W71" s="4"/>
      <c r="X71" s="4"/>
      <c r="Y71" s="4"/>
      <c r="Z71" s="4"/>
      <c r="AA71" s="4"/>
      <c r="AB71" s="4"/>
    </row>
    <row r="72" spans="1:28" s="6" customFormat="1" ht="12.75">
      <c r="A72" s="4"/>
      <c r="B72" s="150">
        <f>B70+1</f>
        <v>22</v>
      </c>
      <c r="C72" s="140" t="s">
        <v>84</v>
      </c>
      <c r="D72" s="140" t="s">
        <v>123</v>
      </c>
      <c r="E72" s="35" t="s">
        <v>27</v>
      </c>
      <c r="F72" s="81">
        <v>1</v>
      </c>
      <c r="G72" s="93">
        <v>82.32</v>
      </c>
      <c r="H72" s="93">
        <v>173.72</v>
      </c>
      <c r="I72" s="84" t="s">
        <v>58</v>
      </c>
      <c r="J72" s="165">
        <f>0.08*2</f>
        <v>0.16</v>
      </c>
      <c r="K72" s="39">
        <v>2016</v>
      </c>
      <c r="L72" s="135">
        <v>1999</v>
      </c>
      <c r="M72" s="126">
        <v>0.1867</v>
      </c>
      <c r="N72" s="123">
        <v>0</v>
      </c>
      <c r="O72" s="123">
        <v>0</v>
      </c>
      <c r="P72" s="123">
        <v>0</v>
      </c>
      <c r="Q72" s="126">
        <f>M72+N72+O72+P72</f>
        <v>0.1867</v>
      </c>
      <c r="R72" s="177" t="s">
        <v>49</v>
      </c>
      <c r="S72" s="177"/>
      <c r="T72" s="180"/>
      <c r="U72" s="4"/>
      <c r="V72" s="4"/>
      <c r="W72" s="4"/>
      <c r="X72" s="4"/>
      <c r="Y72" s="4"/>
      <c r="Z72" s="4"/>
      <c r="AA72" s="4"/>
      <c r="AB72" s="4"/>
    </row>
    <row r="73" spans="1:28" s="6" customFormat="1" ht="13.5" thickBot="1">
      <c r="A73" s="4"/>
      <c r="B73" s="151"/>
      <c r="C73" s="142"/>
      <c r="D73" s="142"/>
      <c r="E73" s="37" t="s">
        <v>27</v>
      </c>
      <c r="F73" s="89">
        <v>1</v>
      </c>
      <c r="G73" s="99">
        <v>82.32</v>
      </c>
      <c r="H73" s="99">
        <v>173.71</v>
      </c>
      <c r="I73" s="92" t="s">
        <v>58</v>
      </c>
      <c r="J73" s="166"/>
      <c r="K73" s="41">
        <v>2002</v>
      </c>
      <c r="L73" s="136"/>
      <c r="M73" s="128"/>
      <c r="N73" s="125"/>
      <c r="O73" s="125"/>
      <c r="P73" s="125"/>
      <c r="Q73" s="128"/>
      <c r="R73" s="179"/>
      <c r="S73" s="179"/>
      <c r="T73" s="182"/>
      <c r="U73" s="4"/>
      <c r="V73" s="4"/>
      <c r="W73" s="4"/>
      <c r="X73" s="4"/>
      <c r="Y73" s="4"/>
      <c r="Z73" s="4"/>
      <c r="AA73" s="4"/>
      <c r="AB73" s="4"/>
    </row>
    <row r="74" spans="1:28" s="6" customFormat="1" ht="12.75">
      <c r="A74" s="4"/>
      <c r="B74" s="150">
        <f>B72+1</f>
        <v>23</v>
      </c>
      <c r="C74" s="169" t="s">
        <v>99</v>
      </c>
      <c r="D74" s="171" t="s">
        <v>124</v>
      </c>
      <c r="E74" s="36" t="s">
        <v>100</v>
      </c>
      <c r="F74" s="81">
        <v>1</v>
      </c>
      <c r="G74" s="93">
        <f>(85.18+85.83)/2</f>
        <v>85.505</v>
      </c>
      <c r="H74" s="82">
        <f>(167.88+166.61)/2</f>
        <v>167.245</v>
      </c>
      <c r="I74" s="84" t="s">
        <v>98</v>
      </c>
      <c r="J74" s="165">
        <v>1.4</v>
      </c>
      <c r="K74" s="53" t="s">
        <v>101</v>
      </c>
      <c r="L74" s="135">
        <v>1986</v>
      </c>
      <c r="M74" s="167">
        <v>0</v>
      </c>
      <c r="N74" s="167">
        <v>0</v>
      </c>
      <c r="O74" s="167">
        <v>0</v>
      </c>
      <c r="P74" s="147">
        <v>0.4123</v>
      </c>
      <c r="Q74" s="126">
        <f>M74+N74+O74+P74</f>
        <v>0.4123</v>
      </c>
      <c r="R74" s="177" t="s">
        <v>49</v>
      </c>
      <c r="S74" s="177"/>
      <c r="T74" s="180"/>
      <c r="U74" s="4"/>
      <c r="V74" s="4"/>
      <c r="W74" s="4"/>
      <c r="X74" s="4"/>
      <c r="Y74" s="4"/>
      <c r="Z74" s="4"/>
      <c r="AA74" s="4"/>
      <c r="AB74" s="4"/>
    </row>
    <row r="75" spans="1:28" s="6" customFormat="1" ht="13.5" thickBot="1">
      <c r="A75" s="4"/>
      <c r="B75" s="151"/>
      <c r="C75" s="170"/>
      <c r="D75" s="172"/>
      <c r="E75" s="38" t="s">
        <v>100</v>
      </c>
      <c r="F75" s="89">
        <v>1</v>
      </c>
      <c r="G75" s="99">
        <f>(84.8+85.65)/2</f>
        <v>85.225</v>
      </c>
      <c r="H75" s="97">
        <f>(168.62+166.97)/2</f>
        <v>167.79500000000002</v>
      </c>
      <c r="I75" s="92" t="s">
        <v>98</v>
      </c>
      <c r="J75" s="166"/>
      <c r="K75" s="54" t="s">
        <v>102</v>
      </c>
      <c r="L75" s="136"/>
      <c r="M75" s="168"/>
      <c r="N75" s="168"/>
      <c r="O75" s="168"/>
      <c r="P75" s="149"/>
      <c r="Q75" s="128"/>
      <c r="R75" s="179"/>
      <c r="S75" s="179"/>
      <c r="T75" s="182"/>
      <c r="U75" s="4"/>
      <c r="V75" s="4"/>
      <c r="W75" s="4"/>
      <c r="X75" s="4"/>
      <c r="Y75" s="4"/>
      <c r="Z75" s="4"/>
      <c r="AA75" s="5"/>
      <c r="AB75" s="13"/>
    </row>
    <row r="76" spans="1:28" s="6" customFormat="1" ht="12.75">
      <c r="A76" s="4"/>
      <c r="B76" s="137">
        <f>B74+1</f>
        <v>24</v>
      </c>
      <c r="C76" s="140" t="s">
        <v>45</v>
      </c>
      <c r="D76" s="140" t="s">
        <v>125</v>
      </c>
      <c r="E76" s="35" t="s">
        <v>13</v>
      </c>
      <c r="F76" s="81">
        <v>1</v>
      </c>
      <c r="G76" s="93">
        <f>(87.82+87.97+87.64)/3</f>
        <v>87.81</v>
      </c>
      <c r="H76" s="93">
        <f>(162.84+162.55+163.16)/3</f>
        <v>162.85</v>
      </c>
      <c r="I76" s="84" t="s">
        <v>51</v>
      </c>
      <c r="J76" s="144">
        <f>4.2*3</f>
        <v>12.600000000000001</v>
      </c>
      <c r="K76" s="40">
        <v>2007</v>
      </c>
      <c r="L76" s="135">
        <v>1970</v>
      </c>
      <c r="M76" s="126">
        <v>8.4074</v>
      </c>
      <c r="N76" s="123">
        <v>2.1773</v>
      </c>
      <c r="O76" s="126">
        <v>0</v>
      </c>
      <c r="P76" s="126">
        <v>0</v>
      </c>
      <c r="Q76" s="126">
        <f>M76+N76+O76+P76</f>
        <v>10.584700000000002</v>
      </c>
      <c r="R76" s="177" t="s">
        <v>49</v>
      </c>
      <c r="S76" s="177"/>
      <c r="T76" s="180"/>
      <c r="U76" s="4"/>
      <c r="V76" s="4"/>
      <c r="W76" s="4"/>
      <c r="X76" s="4"/>
      <c r="Y76" s="4"/>
      <c r="Z76" s="4"/>
      <c r="AA76" s="5"/>
      <c r="AB76" s="13"/>
    </row>
    <row r="77" spans="1:28" s="6" customFormat="1" ht="12.75">
      <c r="A77" s="4"/>
      <c r="B77" s="138"/>
      <c r="C77" s="141"/>
      <c r="D77" s="141"/>
      <c r="E77" s="17" t="s">
        <v>13</v>
      </c>
      <c r="F77" s="105">
        <v>1</v>
      </c>
      <c r="G77" s="86">
        <f>(88.33+88.4+88.2)/3</f>
        <v>88.31</v>
      </c>
      <c r="H77" s="94">
        <f>(161.74+161.6+161.98)/3</f>
        <v>161.77333333333334</v>
      </c>
      <c r="I77" s="88" t="s">
        <v>51</v>
      </c>
      <c r="J77" s="145"/>
      <c r="K77" s="17">
        <v>2007</v>
      </c>
      <c r="L77" s="143"/>
      <c r="M77" s="127"/>
      <c r="N77" s="124"/>
      <c r="O77" s="127"/>
      <c r="P77" s="127"/>
      <c r="Q77" s="127"/>
      <c r="R77" s="178"/>
      <c r="S77" s="178"/>
      <c r="T77" s="181"/>
      <c r="U77" s="4"/>
      <c r="V77" s="4"/>
      <c r="W77" s="4"/>
      <c r="X77" s="4"/>
      <c r="Y77" s="4"/>
      <c r="Z77" s="4"/>
      <c r="AA77" s="8"/>
      <c r="AB77" s="4"/>
    </row>
    <row r="78" spans="1:28" s="6" customFormat="1" ht="13.5" thickBot="1">
      <c r="A78" s="4"/>
      <c r="B78" s="139"/>
      <c r="C78" s="142"/>
      <c r="D78" s="142"/>
      <c r="E78" s="55" t="s">
        <v>13</v>
      </c>
      <c r="F78" s="97">
        <v>1</v>
      </c>
      <c r="G78" s="99">
        <f>(87.08+87.41+87.22)/3</f>
        <v>87.23666666666668</v>
      </c>
      <c r="H78" s="99">
        <f>(164.06+163.43+163.79)/3</f>
        <v>163.76</v>
      </c>
      <c r="I78" s="92" t="s">
        <v>51</v>
      </c>
      <c r="J78" s="146"/>
      <c r="K78" s="37">
        <v>2005</v>
      </c>
      <c r="L78" s="136"/>
      <c r="M78" s="128"/>
      <c r="N78" s="125"/>
      <c r="O78" s="128"/>
      <c r="P78" s="128"/>
      <c r="Q78" s="128"/>
      <c r="R78" s="179"/>
      <c r="S78" s="179"/>
      <c r="T78" s="182"/>
      <c r="U78" s="4"/>
      <c r="V78" s="4"/>
      <c r="W78" s="4"/>
      <c r="X78" s="4"/>
      <c r="Y78" s="4"/>
      <c r="Z78" s="4"/>
      <c r="AA78" s="4"/>
      <c r="AB78" s="4"/>
    </row>
    <row r="79" spans="1:28" s="6" customFormat="1" ht="12.75">
      <c r="A79" s="4"/>
      <c r="B79" s="137">
        <f>B76+1</f>
        <v>25</v>
      </c>
      <c r="C79" s="140" t="s">
        <v>14</v>
      </c>
      <c r="D79" s="140" t="s">
        <v>126</v>
      </c>
      <c r="E79" s="35" t="s">
        <v>15</v>
      </c>
      <c r="F79" s="81">
        <v>1</v>
      </c>
      <c r="G79" s="93">
        <f>(87.1+86.82+86.54)/3</f>
        <v>86.82</v>
      </c>
      <c r="H79" s="93">
        <f>(164.19+164.7+165.23)/3</f>
        <v>164.70666666666668</v>
      </c>
      <c r="I79" s="84"/>
      <c r="J79" s="43"/>
      <c r="K79" s="50">
        <v>1979</v>
      </c>
      <c r="L79" s="135">
        <v>1979</v>
      </c>
      <c r="M79" s="126">
        <v>3.7673</v>
      </c>
      <c r="N79" s="123">
        <v>0.3544</v>
      </c>
      <c r="O79" s="126">
        <v>0</v>
      </c>
      <c r="P79" s="126">
        <v>0</v>
      </c>
      <c r="Q79" s="126">
        <f>M79+N79+O79+P79</f>
        <v>4.1217</v>
      </c>
      <c r="R79" s="177" t="s">
        <v>49</v>
      </c>
      <c r="S79" s="177"/>
      <c r="T79" s="180"/>
      <c r="U79" s="4"/>
      <c r="V79" s="4"/>
      <c r="W79" s="4"/>
      <c r="X79" s="4"/>
      <c r="Y79" s="4"/>
      <c r="Z79" s="4"/>
      <c r="AA79" s="4"/>
      <c r="AB79" s="4"/>
    </row>
    <row r="80" spans="1:28" s="6" customFormat="1" ht="12.75">
      <c r="A80" s="4"/>
      <c r="B80" s="138"/>
      <c r="C80" s="141"/>
      <c r="D80" s="141"/>
      <c r="E80" s="17" t="s">
        <v>15</v>
      </c>
      <c r="F80" s="85">
        <v>1</v>
      </c>
      <c r="G80" s="94">
        <f>(85.19+87.3+88.56)/3</f>
        <v>87.01666666666667</v>
      </c>
      <c r="H80" s="94">
        <f>(167.86+163.8+161.47)/3</f>
        <v>164.37666666666667</v>
      </c>
      <c r="I80" s="88"/>
      <c r="J80" s="11">
        <v>16.16</v>
      </c>
      <c r="K80" s="10">
        <v>1979</v>
      </c>
      <c r="L80" s="143"/>
      <c r="M80" s="127"/>
      <c r="N80" s="124"/>
      <c r="O80" s="127"/>
      <c r="P80" s="127"/>
      <c r="Q80" s="127"/>
      <c r="R80" s="178"/>
      <c r="S80" s="178"/>
      <c r="T80" s="181"/>
      <c r="U80" s="4"/>
      <c r="V80" s="4"/>
      <c r="W80" s="4"/>
      <c r="X80" s="4"/>
      <c r="Y80" s="4"/>
      <c r="Z80" s="4"/>
      <c r="AA80" s="4"/>
      <c r="AB80" s="4"/>
    </row>
    <row r="81" spans="1:28" s="6" customFormat="1" ht="12.75">
      <c r="A81" s="4"/>
      <c r="B81" s="138"/>
      <c r="C81" s="141"/>
      <c r="D81" s="141"/>
      <c r="E81" s="17" t="s">
        <v>16</v>
      </c>
      <c r="F81" s="85">
        <v>1</v>
      </c>
      <c r="G81" s="94">
        <f>(83.37+84.71)/2</f>
        <v>84.03999999999999</v>
      </c>
      <c r="H81" s="94">
        <f>(171.51+168.82)/2</f>
        <v>170.165</v>
      </c>
      <c r="I81" s="95" t="s">
        <v>57</v>
      </c>
      <c r="J81" s="11">
        <v>1.78</v>
      </c>
      <c r="K81" s="10">
        <v>2001</v>
      </c>
      <c r="L81" s="143"/>
      <c r="M81" s="127"/>
      <c r="N81" s="124"/>
      <c r="O81" s="127"/>
      <c r="P81" s="127"/>
      <c r="Q81" s="127"/>
      <c r="R81" s="178"/>
      <c r="S81" s="178"/>
      <c r="T81" s="181"/>
      <c r="U81" s="4"/>
      <c r="V81" s="4"/>
      <c r="W81" s="4"/>
      <c r="X81" s="4"/>
      <c r="Y81" s="4"/>
      <c r="Z81" s="4"/>
      <c r="AA81" s="4"/>
      <c r="AB81" s="4"/>
    </row>
    <row r="82" spans="1:28" s="6" customFormat="1" ht="13.5" thickBot="1">
      <c r="A82" s="4"/>
      <c r="B82" s="139"/>
      <c r="C82" s="142"/>
      <c r="D82" s="142"/>
      <c r="E82" s="37" t="s">
        <v>16</v>
      </c>
      <c r="F82" s="89">
        <v>1</v>
      </c>
      <c r="G82" s="99">
        <f>(85.14+86.92)/2</f>
        <v>86.03</v>
      </c>
      <c r="H82" s="99">
        <f>(167.96+164.52)/2</f>
        <v>166.24</v>
      </c>
      <c r="I82" s="97" t="s">
        <v>57</v>
      </c>
      <c r="J82" s="56"/>
      <c r="K82" s="51">
        <v>2001</v>
      </c>
      <c r="L82" s="136"/>
      <c r="M82" s="128"/>
      <c r="N82" s="125"/>
      <c r="O82" s="128"/>
      <c r="P82" s="128"/>
      <c r="Q82" s="128"/>
      <c r="R82" s="179"/>
      <c r="S82" s="179"/>
      <c r="T82" s="182"/>
      <c r="U82" s="4"/>
      <c r="V82" s="4"/>
      <c r="W82" s="4"/>
      <c r="X82" s="4"/>
      <c r="Y82" s="4"/>
      <c r="Z82" s="4"/>
      <c r="AA82" s="4"/>
      <c r="AB82" s="4"/>
    </row>
    <row r="83" spans="1:28" s="6" customFormat="1" ht="12.75" customHeight="1">
      <c r="A83" s="4"/>
      <c r="B83" s="137">
        <f>B79+1</f>
        <v>26</v>
      </c>
      <c r="C83" s="140" t="s">
        <v>18</v>
      </c>
      <c r="D83" s="140" t="s">
        <v>127</v>
      </c>
      <c r="E83" s="35" t="s">
        <v>7</v>
      </c>
      <c r="F83" s="81">
        <v>1</v>
      </c>
      <c r="G83" s="93">
        <f>(84.51+85.28+85.24)/3</f>
        <v>85.01</v>
      </c>
      <c r="H83" s="93">
        <f>(169.22+167.69+167.77)/3</f>
        <v>168.22666666666666</v>
      </c>
      <c r="I83" s="84" t="s">
        <v>51</v>
      </c>
      <c r="J83" s="165">
        <f>2.5*2</f>
        <v>5</v>
      </c>
      <c r="K83" s="50">
        <v>1980</v>
      </c>
      <c r="L83" s="135">
        <v>1980</v>
      </c>
      <c r="M83" s="126">
        <v>2.7016</v>
      </c>
      <c r="N83" s="123">
        <v>0.8609</v>
      </c>
      <c r="O83" s="126">
        <v>0</v>
      </c>
      <c r="P83" s="126">
        <v>0</v>
      </c>
      <c r="Q83" s="126">
        <f>M83+N83+O83+P83</f>
        <v>3.5625</v>
      </c>
      <c r="R83" s="177" t="s">
        <v>49</v>
      </c>
      <c r="S83" s="177"/>
      <c r="T83" s="180"/>
      <c r="U83" s="4"/>
      <c r="V83" s="4"/>
      <c r="W83" s="4"/>
      <c r="X83" s="4"/>
      <c r="Y83" s="4"/>
      <c r="Z83" s="4"/>
      <c r="AA83" s="4"/>
      <c r="AB83" s="4"/>
    </row>
    <row r="84" spans="1:28" s="6" customFormat="1" ht="13.5" thickBot="1">
      <c r="A84" s="4"/>
      <c r="B84" s="139"/>
      <c r="C84" s="142"/>
      <c r="D84" s="142"/>
      <c r="E84" s="37" t="s">
        <v>7</v>
      </c>
      <c r="F84" s="89">
        <v>1</v>
      </c>
      <c r="G84" s="99">
        <f>(85.09+83.99+84.19)/3</f>
        <v>84.42333333333333</v>
      </c>
      <c r="H84" s="99">
        <f>(168.05+170.27+169.85)/3</f>
        <v>169.39000000000001</v>
      </c>
      <c r="I84" s="92" t="s">
        <v>51</v>
      </c>
      <c r="J84" s="166"/>
      <c r="K84" s="51">
        <v>1980</v>
      </c>
      <c r="L84" s="136"/>
      <c r="M84" s="128"/>
      <c r="N84" s="125"/>
      <c r="O84" s="128"/>
      <c r="P84" s="128"/>
      <c r="Q84" s="128"/>
      <c r="R84" s="179"/>
      <c r="S84" s="179"/>
      <c r="T84" s="182"/>
      <c r="U84" s="4"/>
      <c r="V84" s="4"/>
      <c r="W84" s="4"/>
      <c r="X84" s="4"/>
      <c r="Y84" s="4"/>
      <c r="Z84" s="4"/>
      <c r="AA84" s="4"/>
      <c r="AB84" s="4"/>
    </row>
    <row r="85" spans="1:28" s="6" customFormat="1" ht="12.75">
      <c r="A85" s="4"/>
      <c r="B85" s="150">
        <f>B83+1</f>
        <v>27</v>
      </c>
      <c r="C85" s="140" t="s">
        <v>24</v>
      </c>
      <c r="D85" s="140" t="s">
        <v>128</v>
      </c>
      <c r="E85" s="35" t="s">
        <v>33</v>
      </c>
      <c r="F85" s="81">
        <v>1</v>
      </c>
      <c r="G85" s="93">
        <v>89.91</v>
      </c>
      <c r="H85" s="93">
        <v>159.05</v>
      </c>
      <c r="I85" s="84" t="s">
        <v>60</v>
      </c>
      <c r="J85" s="162">
        <f>0.0817*5</f>
        <v>0.4085</v>
      </c>
      <c r="K85" s="40">
        <v>2010</v>
      </c>
      <c r="L85" s="135">
        <v>2010</v>
      </c>
      <c r="M85" s="126">
        <v>0.2887</v>
      </c>
      <c r="N85" s="123">
        <v>0</v>
      </c>
      <c r="O85" s="123"/>
      <c r="P85" s="123"/>
      <c r="Q85" s="126">
        <f>M85+N85+O85+P85</f>
        <v>0.2887</v>
      </c>
      <c r="R85" s="177" t="s">
        <v>49</v>
      </c>
      <c r="S85" s="177"/>
      <c r="T85" s="180"/>
      <c r="U85" s="4"/>
      <c r="V85" s="4"/>
      <c r="W85" s="4"/>
      <c r="X85" s="4"/>
      <c r="Y85" s="4"/>
      <c r="Z85" s="4"/>
      <c r="AA85" s="4"/>
      <c r="AB85" s="4"/>
    </row>
    <row r="86" spans="1:28" s="6" customFormat="1" ht="12.75">
      <c r="A86" s="4"/>
      <c r="B86" s="154"/>
      <c r="C86" s="141"/>
      <c r="D86" s="141"/>
      <c r="E86" s="17" t="s">
        <v>33</v>
      </c>
      <c r="F86" s="85">
        <v>1</v>
      </c>
      <c r="G86" s="94">
        <v>89.3</v>
      </c>
      <c r="H86" s="94">
        <v>160.14</v>
      </c>
      <c r="I86" s="88" t="s">
        <v>60</v>
      </c>
      <c r="J86" s="163"/>
      <c r="K86" s="7">
        <v>2010</v>
      </c>
      <c r="L86" s="143"/>
      <c r="M86" s="127"/>
      <c r="N86" s="124"/>
      <c r="O86" s="124"/>
      <c r="P86" s="124"/>
      <c r="Q86" s="127"/>
      <c r="R86" s="178"/>
      <c r="S86" s="178"/>
      <c r="T86" s="181"/>
      <c r="U86" s="4"/>
      <c r="V86" s="4"/>
      <c r="W86" s="4"/>
      <c r="X86" s="4"/>
      <c r="Y86" s="4"/>
      <c r="Z86" s="4"/>
      <c r="AA86" s="4"/>
      <c r="AB86" s="4"/>
    </row>
    <row r="87" spans="1:28" s="6" customFormat="1" ht="12.75">
      <c r="A87" s="4"/>
      <c r="B87" s="154"/>
      <c r="C87" s="141"/>
      <c r="D87" s="141"/>
      <c r="E87" s="17" t="s">
        <v>33</v>
      </c>
      <c r="F87" s="85">
        <v>1</v>
      </c>
      <c r="G87" s="94">
        <v>89.08</v>
      </c>
      <c r="H87" s="94">
        <v>160.53</v>
      </c>
      <c r="I87" s="88" t="s">
        <v>60</v>
      </c>
      <c r="J87" s="163"/>
      <c r="K87" s="7">
        <v>2010</v>
      </c>
      <c r="L87" s="143"/>
      <c r="M87" s="127"/>
      <c r="N87" s="124"/>
      <c r="O87" s="124"/>
      <c r="P87" s="124"/>
      <c r="Q87" s="127"/>
      <c r="R87" s="178"/>
      <c r="S87" s="178"/>
      <c r="T87" s="181"/>
      <c r="U87" s="4"/>
      <c r="V87" s="4"/>
      <c r="W87" s="4"/>
      <c r="X87" s="4"/>
      <c r="Y87" s="4"/>
      <c r="Z87" s="4"/>
      <c r="AA87" s="4"/>
      <c r="AB87" s="4"/>
    </row>
    <row r="88" spans="1:28" s="6" customFormat="1" ht="12.75">
      <c r="A88" s="4"/>
      <c r="B88" s="154"/>
      <c r="C88" s="141"/>
      <c r="D88" s="141"/>
      <c r="E88" s="17" t="s">
        <v>33</v>
      </c>
      <c r="F88" s="85">
        <v>1</v>
      </c>
      <c r="G88" s="94">
        <v>89.55</v>
      </c>
      <c r="H88" s="94">
        <v>159.7</v>
      </c>
      <c r="I88" s="88" t="s">
        <v>60</v>
      </c>
      <c r="J88" s="163"/>
      <c r="K88" s="7">
        <v>2010</v>
      </c>
      <c r="L88" s="143"/>
      <c r="M88" s="127"/>
      <c r="N88" s="124"/>
      <c r="O88" s="124"/>
      <c r="P88" s="124"/>
      <c r="Q88" s="127"/>
      <c r="R88" s="178"/>
      <c r="S88" s="178"/>
      <c r="T88" s="181"/>
      <c r="U88" s="4"/>
      <c r="V88" s="4"/>
      <c r="W88" s="4"/>
      <c r="X88" s="4"/>
      <c r="Y88" s="4"/>
      <c r="Z88" s="4"/>
      <c r="AA88" s="4"/>
      <c r="AB88" s="4"/>
    </row>
    <row r="89" spans="1:28" s="6" customFormat="1" ht="13.5" thickBot="1">
      <c r="A89" s="4"/>
      <c r="B89" s="151"/>
      <c r="C89" s="142"/>
      <c r="D89" s="142"/>
      <c r="E89" s="37" t="s">
        <v>33</v>
      </c>
      <c r="F89" s="89">
        <v>1</v>
      </c>
      <c r="G89" s="99">
        <v>89.65</v>
      </c>
      <c r="H89" s="99">
        <v>159.5</v>
      </c>
      <c r="I89" s="92" t="s">
        <v>60</v>
      </c>
      <c r="J89" s="164"/>
      <c r="K89" s="42">
        <v>2010</v>
      </c>
      <c r="L89" s="136"/>
      <c r="M89" s="128"/>
      <c r="N89" s="125"/>
      <c r="O89" s="125"/>
      <c r="P89" s="125"/>
      <c r="Q89" s="128"/>
      <c r="R89" s="179"/>
      <c r="S89" s="179"/>
      <c r="T89" s="182"/>
      <c r="U89" s="4"/>
      <c r="V89" s="4"/>
      <c r="W89" s="4"/>
      <c r="X89" s="4"/>
      <c r="Y89" s="4"/>
      <c r="Z89" s="4"/>
      <c r="AA89" s="4"/>
      <c r="AB89" s="4"/>
    </row>
    <row r="90" spans="1:28" s="6" customFormat="1" ht="12.75">
      <c r="A90" s="4"/>
      <c r="B90" s="137">
        <f>B85+1</f>
        <v>28</v>
      </c>
      <c r="C90" s="140" t="s">
        <v>19</v>
      </c>
      <c r="D90" s="140" t="s">
        <v>129</v>
      </c>
      <c r="E90" s="35" t="s">
        <v>6</v>
      </c>
      <c r="F90" s="81">
        <v>1</v>
      </c>
      <c r="G90" s="93">
        <f>(83.06+82.18+82.62)/3</f>
        <v>82.62</v>
      </c>
      <c r="H90" s="93">
        <f>(172.17+174.01+173.08)/3</f>
        <v>173.08666666666667</v>
      </c>
      <c r="I90" s="84"/>
      <c r="J90" s="159">
        <f>1.5*3</f>
        <v>4.5</v>
      </c>
      <c r="K90" s="50">
        <v>1974</v>
      </c>
      <c r="L90" s="135">
        <v>1974</v>
      </c>
      <c r="M90" s="126">
        <v>2.5408</v>
      </c>
      <c r="N90" s="123">
        <v>0.0072</v>
      </c>
      <c r="O90" s="126">
        <v>0</v>
      </c>
      <c r="P90" s="147">
        <v>0</v>
      </c>
      <c r="Q90" s="126">
        <f>M90+N90+O90+P90</f>
        <v>2.548</v>
      </c>
      <c r="R90" s="177" t="s">
        <v>49</v>
      </c>
      <c r="S90" s="177"/>
      <c r="T90" s="180"/>
      <c r="U90" s="4"/>
      <c r="V90" s="4"/>
      <c r="W90" s="4"/>
      <c r="X90" s="4"/>
      <c r="Y90" s="4"/>
      <c r="Z90" s="4"/>
      <c r="AA90" s="4"/>
      <c r="AB90" s="4"/>
    </row>
    <row r="91" spans="1:28" s="6" customFormat="1" ht="12.75">
      <c r="A91" s="4"/>
      <c r="B91" s="138"/>
      <c r="C91" s="141"/>
      <c r="D91" s="141"/>
      <c r="E91" s="17" t="s">
        <v>6</v>
      </c>
      <c r="F91" s="85">
        <v>1</v>
      </c>
      <c r="G91" s="94">
        <f>(78.08+84.47)/2</f>
        <v>81.275</v>
      </c>
      <c r="H91" s="94">
        <f>(183.15+169.28)/2</f>
        <v>176.215</v>
      </c>
      <c r="I91" s="88"/>
      <c r="J91" s="160"/>
      <c r="K91" s="10">
        <v>1974</v>
      </c>
      <c r="L91" s="143"/>
      <c r="M91" s="127"/>
      <c r="N91" s="124"/>
      <c r="O91" s="127"/>
      <c r="P91" s="148"/>
      <c r="Q91" s="127"/>
      <c r="R91" s="178"/>
      <c r="S91" s="178"/>
      <c r="T91" s="181"/>
      <c r="U91" s="4"/>
      <c r="V91" s="4"/>
      <c r="W91" s="4"/>
      <c r="X91" s="4"/>
      <c r="Y91" s="4"/>
      <c r="Z91" s="4"/>
      <c r="AA91" s="4"/>
      <c r="AB91" s="4"/>
    </row>
    <row r="92" spans="1:28" s="6" customFormat="1" ht="12.75" customHeight="1" thickBot="1">
      <c r="A92" s="4"/>
      <c r="B92" s="139"/>
      <c r="C92" s="142"/>
      <c r="D92" s="142"/>
      <c r="E92" s="45" t="s">
        <v>6</v>
      </c>
      <c r="F92" s="89">
        <v>1</v>
      </c>
      <c r="G92" s="99">
        <f>(79.55+81.94)/2</f>
        <v>80.745</v>
      </c>
      <c r="H92" s="99">
        <f>(179.76+174.52)/2</f>
        <v>177.14</v>
      </c>
      <c r="I92" s="92"/>
      <c r="J92" s="161"/>
      <c r="K92" s="51">
        <v>2015</v>
      </c>
      <c r="L92" s="136"/>
      <c r="M92" s="128"/>
      <c r="N92" s="125"/>
      <c r="O92" s="128"/>
      <c r="P92" s="149"/>
      <c r="Q92" s="128"/>
      <c r="R92" s="179"/>
      <c r="S92" s="179"/>
      <c r="T92" s="182"/>
      <c r="U92" s="4"/>
      <c r="V92" s="4"/>
      <c r="W92" s="4"/>
      <c r="X92" s="4"/>
      <c r="Y92" s="4"/>
      <c r="Z92" s="4"/>
      <c r="AA92" s="8"/>
      <c r="AB92" s="5"/>
    </row>
    <row r="93" spans="1:28" s="6" customFormat="1" ht="12.75" customHeight="1">
      <c r="A93" s="4"/>
      <c r="B93" s="150">
        <f>B90+1</f>
        <v>29</v>
      </c>
      <c r="C93" s="140" t="s">
        <v>35</v>
      </c>
      <c r="D93" s="140" t="s">
        <v>130</v>
      </c>
      <c r="E93" s="35" t="s">
        <v>33</v>
      </c>
      <c r="F93" s="81">
        <v>1</v>
      </c>
      <c r="G93" s="93">
        <v>85.8</v>
      </c>
      <c r="H93" s="93">
        <v>166.67</v>
      </c>
      <c r="I93" s="84" t="s">
        <v>64</v>
      </c>
      <c r="J93" s="152">
        <f>0.082*4</f>
        <v>0.328</v>
      </c>
      <c r="K93" s="46" t="s">
        <v>34</v>
      </c>
      <c r="L93" s="135">
        <v>2008</v>
      </c>
      <c r="M93" s="126">
        <v>0.243</v>
      </c>
      <c r="N93" s="123">
        <v>0</v>
      </c>
      <c r="O93" s="123">
        <v>0</v>
      </c>
      <c r="P93" s="123">
        <v>0</v>
      </c>
      <c r="Q93" s="126">
        <f>M93+N93+O93+P93</f>
        <v>0.243</v>
      </c>
      <c r="R93" s="177" t="s">
        <v>49</v>
      </c>
      <c r="S93" s="177"/>
      <c r="T93" s="180"/>
      <c r="U93" s="4"/>
      <c r="V93" s="4"/>
      <c r="W93" s="4"/>
      <c r="X93" s="4"/>
      <c r="Y93" s="4"/>
      <c r="Z93" s="4"/>
      <c r="AA93" s="8"/>
      <c r="AB93" s="5"/>
    </row>
    <row r="94" spans="1:28" s="6" customFormat="1" ht="12.75" customHeight="1">
      <c r="A94" s="4"/>
      <c r="B94" s="154"/>
      <c r="C94" s="141"/>
      <c r="D94" s="141"/>
      <c r="E94" s="17" t="s">
        <v>33</v>
      </c>
      <c r="F94" s="85">
        <v>1</v>
      </c>
      <c r="G94" s="94">
        <v>85.6</v>
      </c>
      <c r="H94" s="94">
        <v>167</v>
      </c>
      <c r="I94" s="88" t="s">
        <v>64</v>
      </c>
      <c r="J94" s="158"/>
      <c r="K94" s="14" t="s">
        <v>34</v>
      </c>
      <c r="L94" s="143"/>
      <c r="M94" s="127"/>
      <c r="N94" s="124"/>
      <c r="O94" s="124"/>
      <c r="P94" s="124"/>
      <c r="Q94" s="127"/>
      <c r="R94" s="178"/>
      <c r="S94" s="178"/>
      <c r="T94" s="181"/>
      <c r="U94" s="4"/>
      <c r="V94" s="4"/>
      <c r="W94" s="4"/>
      <c r="X94" s="4"/>
      <c r="Y94" s="4"/>
      <c r="Z94" s="4"/>
      <c r="AA94" s="8"/>
      <c r="AB94" s="5"/>
    </row>
    <row r="95" spans="1:28" s="6" customFormat="1" ht="12.75" customHeight="1">
      <c r="A95" s="4"/>
      <c r="B95" s="154"/>
      <c r="C95" s="141"/>
      <c r="D95" s="141"/>
      <c r="E95" s="17" t="s">
        <v>33</v>
      </c>
      <c r="F95" s="85">
        <v>1</v>
      </c>
      <c r="G95" s="94">
        <v>85.8</v>
      </c>
      <c r="H95" s="94">
        <v>166.67</v>
      </c>
      <c r="I95" s="88" t="s">
        <v>64</v>
      </c>
      <c r="J95" s="158"/>
      <c r="K95" s="14" t="s">
        <v>34</v>
      </c>
      <c r="L95" s="143"/>
      <c r="M95" s="127"/>
      <c r="N95" s="124"/>
      <c r="O95" s="124"/>
      <c r="P95" s="124"/>
      <c r="Q95" s="127"/>
      <c r="R95" s="178"/>
      <c r="S95" s="178"/>
      <c r="T95" s="181"/>
      <c r="U95" s="4"/>
      <c r="V95" s="4"/>
      <c r="W95" s="4"/>
      <c r="X95" s="4"/>
      <c r="Y95" s="4"/>
      <c r="Z95" s="4"/>
      <c r="AA95" s="8"/>
      <c r="AB95" s="5"/>
    </row>
    <row r="96" spans="1:28" s="6" customFormat="1" ht="12.75" customHeight="1" thickBot="1">
      <c r="A96" s="4"/>
      <c r="B96" s="151"/>
      <c r="C96" s="142"/>
      <c r="D96" s="142"/>
      <c r="E96" s="37" t="s">
        <v>33</v>
      </c>
      <c r="F96" s="89">
        <v>1</v>
      </c>
      <c r="G96" s="99">
        <v>85.6</v>
      </c>
      <c r="H96" s="99">
        <v>167</v>
      </c>
      <c r="I96" s="92" t="s">
        <v>64</v>
      </c>
      <c r="J96" s="153"/>
      <c r="K96" s="47" t="s">
        <v>34</v>
      </c>
      <c r="L96" s="136"/>
      <c r="M96" s="128"/>
      <c r="N96" s="125"/>
      <c r="O96" s="125"/>
      <c r="P96" s="125"/>
      <c r="Q96" s="128"/>
      <c r="R96" s="179"/>
      <c r="S96" s="179"/>
      <c r="T96" s="182"/>
      <c r="U96" s="4"/>
      <c r="V96" s="4"/>
      <c r="W96" s="4"/>
      <c r="X96" s="4"/>
      <c r="Y96" s="4"/>
      <c r="Z96" s="4"/>
      <c r="AA96" s="4"/>
      <c r="AB96" s="4"/>
    </row>
    <row r="97" spans="1:28" s="6" customFormat="1" ht="12.75" customHeight="1">
      <c r="A97" s="4"/>
      <c r="B97" s="137">
        <f>B93+1</f>
        <v>30</v>
      </c>
      <c r="C97" s="140" t="s">
        <v>8</v>
      </c>
      <c r="D97" s="140" t="s">
        <v>131</v>
      </c>
      <c r="E97" s="57" t="s">
        <v>39</v>
      </c>
      <c r="F97" s="81">
        <v>1</v>
      </c>
      <c r="G97" s="93">
        <f>(91.95+91.67)/2</f>
        <v>91.81</v>
      </c>
      <c r="H97" s="93">
        <f>(155.52+155.99)/2</f>
        <v>155.755</v>
      </c>
      <c r="I97" s="102" t="s">
        <v>53</v>
      </c>
      <c r="J97" s="144">
        <f>0.894*2</f>
        <v>1.788</v>
      </c>
      <c r="K97" s="58">
        <v>2010</v>
      </c>
      <c r="L97" s="135">
        <v>2010</v>
      </c>
      <c r="M97" s="126">
        <v>0.9714</v>
      </c>
      <c r="N97" s="123">
        <v>0.283</v>
      </c>
      <c r="O97" s="126">
        <v>0.258</v>
      </c>
      <c r="P97" s="147">
        <v>0</v>
      </c>
      <c r="Q97" s="126">
        <f>M97+N97+O97+P97</f>
        <v>1.5124</v>
      </c>
      <c r="R97" s="177" t="s">
        <v>49</v>
      </c>
      <c r="S97" s="177"/>
      <c r="T97" s="180"/>
      <c r="U97" s="4"/>
      <c r="V97" s="4"/>
      <c r="W97" s="4"/>
      <c r="X97" s="4"/>
      <c r="Y97" s="4"/>
      <c r="Z97" s="4"/>
      <c r="AA97" s="4"/>
      <c r="AB97" s="4"/>
    </row>
    <row r="98" spans="1:28" s="6" customFormat="1" ht="13.5" thickBot="1">
      <c r="A98" s="4"/>
      <c r="B98" s="139"/>
      <c r="C98" s="142"/>
      <c r="D98" s="142"/>
      <c r="E98" s="59" t="s">
        <v>39</v>
      </c>
      <c r="F98" s="89">
        <v>1</v>
      </c>
      <c r="G98" s="99">
        <f>(92.03+89.63)/2</f>
        <v>90.83</v>
      </c>
      <c r="H98" s="99">
        <f>(155.38+159.55)/2</f>
        <v>157.465</v>
      </c>
      <c r="I98" s="100" t="s">
        <v>53</v>
      </c>
      <c r="J98" s="146"/>
      <c r="K98" s="42">
        <v>2010</v>
      </c>
      <c r="L98" s="136"/>
      <c r="M98" s="128"/>
      <c r="N98" s="125"/>
      <c r="O98" s="128"/>
      <c r="P98" s="149"/>
      <c r="Q98" s="128"/>
      <c r="R98" s="179"/>
      <c r="S98" s="179"/>
      <c r="T98" s="182"/>
      <c r="U98" s="4"/>
      <c r="V98" s="4"/>
      <c r="W98" s="4"/>
      <c r="X98" s="4"/>
      <c r="Y98" s="4"/>
      <c r="Z98" s="4"/>
      <c r="AA98" s="4"/>
      <c r="AB98" s="4"/>
    </row>
    <row r="99" spans="1:28" s="6" customFormat="1" ht="12.75">
      <c r="A99" s="4"/>
      <c r="B99" s="137">
        <f>B97+1</f>
        <v>31</v>
      </c>
      <c r="C99" s="63" t="s">
        <v>22</v>
      </c>
      <c r="D99" s="63" t="s">
        <v>132</v>
      </c>
      <c r="E99" s="35" t="s">
        <v>80</v>
      </c>
      <c r="F99" s="81">
        <v>1</v>
      </c>
      <c r="G99" s="93">
        <f>(75.9+76.8)/2</f>
        <v>76.35</v>
      </c>
      <c r="H99" s="93">
        <f>(188.41+186.2)/2</f>
        <v>187.305</v>
      </c>
      <c r="I99" s="84" t="s">
        <v>55</v>
      </c>
      <c r="J99" s="121">
        <f>0.6*2</f>
        <v>1.2</v>
      </c>
      <c r="K99" s="40">
        <v>1971</v>
      </c>
      <c r="L99" s="135">
        <v>1971</v>
      </c>
      <c r="M99" s="126">
        <v>0.4712</v>
      </c>
      <c r="N99" s="123">
        <v>0.0347</v>
      </c>
      <c r="O99" s="126">
        <v>0</v>
      </c>
      <c r="P99" s="147">
        <v>0</v>
      </c>
      <c r="Q99" s="126">
        <f>M99+N99+O99+P99</f>
        <v>0.5059</v>
      </c>
      <c r="R99" s="177" t="s">
        <v>49</v>
      </c>
      <c r="S99" s="177"/>
      <c r="T99" s="180"/>
      <c r="U99" s="4"/>
      <c r="V99" s="4"/>
      <c r="W99" s="4"/>
      <c r="X99" s="4"/>
      <c r="Y99" s="4"/>
      <c r="Z99" s="4"/>
      <c r="AA99" s="4"/>
      <c r="AB99" s="4"/>
    </row>
    <row r="100" spans="1:28" s="6" customFormat="1" ht="13.5" thickBot="1">
      <c r="A100" s="4"/>
      <c r="B100" s="139"/>
      <c r="C100" s="64"/>
      <c r="D100" s="64"/>
      <c r="E100" s="37" t="s">
        <v>80</v>
      </c>
      <c r="F100" s="89">
        <v>1</v>
      </c>
      <c r="G100" s="99">
        <f>(77.9+79.14)/2</f>
        <v>78.52000000000001</v>
      </c>
      <c r="H100" s="99">
        <f>(183.57+180.69)/2</f>
        <v>182.13</v>
      </c>
      <c r="I100" s="92" t="s">
        <v>55</v>
      </c>
      <c r="J100" s="122"/>
      <c r="K100" s="42">
        <v>1971</v>
      </c>
      <c r="L100" s="136"/>
      <c r="M100" s="128"/>
      <c r="N100" s="125"/>
      <c r="O100" s="128"/>
      <c r="P100" s="149"/>
      <c r="Q100" s="128"/>
      <c r="R100" s="179"/>
      <c r="S100" s="179"/>
      <c r="T100" s="182"/>
      <c r="U100" s="4"/>
      <c r="V100" s="4"/>
      <c r="W100" s="4"/>
      <c r="X100" s="4"/>
      <c r="Y100" s="4"/>
      <c r="Z100" s="4"/>
      <c r="AA100" s="4"/>
      <c r="AB100" s="4"/>
    </row>
    <row r="101" spans="1:28" s="6" customFormat="1" ht="12.75" customHeight="1">
      <c r="A101" s="4"/>
      <c r="B101" s="150">
        <f>B99+1</f>
        <v>32</v>
      </c>
      <c r="C101" s="140" t="s">
        <v>5</v>
      </c>
      <c r="D101" s="140" t="s">
        <v>133</v>
      </c>
      <c r="E101" s="35" t="s">
        <v>4</v>
      </c>
      <c r="F101" s="81">
        <v>1</v>
      </c>
      <c r="G101" s="93">
        <f>(91.12+90.89+90.48+90.13)/4</f>
        <v>90.655</v>
      </c>
      <c r="H101" s="93">
        <f>(156.94+157.34+158.04+158.66)/4</f>
        <v>157.74499999999998</v>
      </c>
      <c r="I101" s="82" t="s">
        <v>50</v>
      </c>
      <c r="J101" s="155">
        <v>120</v>
      </c>
      <c r="K101" s="58">
        <v>1987</v>
      </c>
      <c r="L101" s="144">
        <v>1986</v>
      </c>
      <c r="M101" s="147">
        <v>52.5573</v>
      </c>
      <c r="N101" s="147">
        <v>22.276</v>
      </c>
      <c r="O101" s="147">
        <v>1.0497</v>
      </c>
      <c r="P101" s="147"/>
      <c r="Q101" s="147">
        <f>M101+N101+O101+P101</f>
        <v>75.883</v>
      </c>
      <c r="R101" s="177" t="s">
        <v>49</v>
      </c>
      <c r="S101" s="177"/>
      <c r="T101" s="180"/>
      <c r="U101" s="4"/>
      <c r="V101" s="4"/>
      <c r="W101" s="4"/>
      <c r="X101" s="4"/>
      <c r="Y101" s="4"/>
      <c r="Z101" s="4"/>
      <c r="AA101" s="4"/>
      <c r="AB101" s="4"/>
    </row>
    <row r="102" spans="1:28" s="6" customFormat="1" ht="12.75">
      <c r="A102" s="4"/>
      <c r="B102" s="154"/>
      <c r="C102" s="141"/>
      <c r="D102" s="141"/>
      <c r="E102" s="17" t="s">
        <v>4</v>
      </c>
      <c r="F102" s="85">
        <v>1</v>
      </c>
      <c r="G102" s="94">
        <f>(90.88+90.46+89.88+89.42)/4</f>
        <v>90.16</v>
      </c>
      <c r="H102" s="94">
        <f>(157.35+158.07+159.11+159.92)/4</f>
        <v>158.61249999999998</v>
      </c>
      <c r="I102" s="86" t="s">
        <v>50</v>
      </c>
      <c r="J102" s="156"/>
      <c r="K102" s="12">
        <v>1987</v>
      </c>
      <c r="L102" s="145"/>
      <c r="M102" s="148"/>
      <c r="N102" s="148"/>
      <c r="O102" s="148"/>
      <c r="P102" s="148"/>
      <c r="Q102" s="148"/>
      <c r="R102" s="178"/>
      <c r="S102" s="178"/>
      <c r="T102" s="181"/>
      <c r="U102" s="4"/>
      <c r="V102" s="4"/>
      <c r="W102" s="4"/>
      <c r="X102" s="4"/>
      <c r="Y102" s="4"/>
      <c r="Z102" s="4"/>
      <c r="AA102" s="4"/>
      <c r="AB102" s="4"/>
    </row>
    <row r="103" spans="1:28" s="6" customFormat="1" ht="12.75">
      <c r="A103" s="4"/>
      <c r="B103" s="154"/>
      <c r="C103" s="141"/>
      <c r="D103" s="141"/>
      <c r="E103" s="17" t="s">
        <v>4</v>
      </c>
      <c r="F103" s="85">
        <v>1</v>
      </c>
      <c r="G103" s="94">
        <f>(91.88+91.68+91.23+90.74)/4</f>
        <v>91.38250000000001</v>
      </c>
      <c r="H103" s="94">
        <f>(155.63+155.97+156.74+157.6)/4</f>
        <v>156.485</v>
      </c>
      <c r="I103" s="86" t="s">
        <v>50</v>
      </c>
      <c r="J103" s="156"/>
      <c r="K103" s="12">
        <v>1986</v>
      </c>
      <c r="L103" s="145"/>
      <c r="M103" s="148"/>
      <c r="N103" s="148"/>
      <c r="O103" s="148"/>
      <c r="P103" s="148"/>
      <c r="Q103" s="148"/>
      <c r="R103" s="178"/>
      <c r="S103" s="178"/>
      <c r="T103" s="181"/>
      <c r="U103" s="4"/>
      <c r="V103" s="4"/>
      <c r="W103" s="4"/>
      <c r="X103" s="4"/>
      <c r="Y103" s="4"/>
      <c r="Z103" s="4"/>
      <c r="AA103" s="4"/>
      <c r="AB103" s="4"/>
    </row>
    <row r="104" spans="1:28" s="6" customFormat="1" ht="12.75" customHeight="1" thickBot="1">
      <c r="A104" s="4"/>
      <c r="B104" s="151"/>
      <c r="C104" s="142"/>
      <c r="D104" s="142"/>
      <c r="E104" s="37" t="s">
        <v>4</v>
      </c>
      <c r="F104" s="89">
        <v>1</v>
      </c>
      <c r="G104" s="99">
        <v>91.2</v>
      </c>
      <c r="H104" s="99">
        <f>142.86/G104*100</f>
        <v>156.64473684210526</v>
      </c>
      <c r="I104" s="100" t="s">
        <v>50</v>
      </c>
      <c r="J104" s="157"/>
      <c r="K104" s="60">
        <v>2005</v>
      </c>
      <c r="L104" s="146"/>
      <c r="M104" s="149"/>
      <c r="N104" s="149"/>
      <c r="O104" s="149"/>
      <c r="P104" s="149"/>
      <c r="Q104" s="149"/>
      <c r="R104" s="179"/>
      <c r="S104" s="179"/>
      <c r="T104" s="182"/>
      <c r="U104" s="4"/>
      <c r="V104" s="4"/>
      <c r="W104" s="4"/>
      <c r="X104" s="4"/>
      <c r="Y104" s="4"/>
      <c r="Z104" s="4"/>
      <c r="AA104" s="4"/>
      <c r="AB104" s="4"/>
    </row>
    <row r="105" spans="1:28" s="6" customFormat="1" ht="12.75" customHeight="1">
      <c r="A105" s="4"/>
      <c r="B105" s="150">
        <f>B101+1</f>
        <v>33</v>
      </c>
      <c r="C105" s="140" t="s">
        <v>83</v>
      </c>
      <c r="D105" s="140" t="s">
        <v>134</v>
      </c>
      <c r="E105" s="35" t="s">
        <v>28</v>
      </c>
      <c r="F105" s="81">
        <v>1</v>
      </c>
      <c r="G105" s="93">
        <v>77.29</v>
      </c>
      <c r="H105" s="93">
        <v>185.02</v>
      </c>
      <c r="I105" s="84" t="s">
        <v>63</v>
      </c>
      <c r="J105" s="152">
        <f>0.0855*2</f>
        <v>0.171</v>
      </c>
      <c r="K105" s="39">
        <v>2007</v>
      </c>
      <c r="L105" s="135">
        <v>2007</v>
      </c>
      <c r="M105" s="126">
        <v>0.0722</v>
      </c>
      <c r="N105" s="123">
        <v>0</v>
      </c>
      <c r="O105" s="123">
        <v>0</v>
      </c>
      <c r="P105" s="123">
        <v>0</v>
      </c>
      <c r="Q105" s="126">
        <f>M105+N105+O105+P105</f>
        <v>0.0722</v>
      </c>
      <c r="R105" s="177"/>
      <c r="S105" s="177"/>
      <c r="T105" s="180"/>
      <c r="U105" s="4"/>
      <c r="V105" s="4"/>
      <c r="W105" s="4"/>
      <c r="X105" s="4"/>
      <c r="Y105" s="4"/>
      <c r="Z105" s="4"/>
      <c r="AA105" s="4"/>
      <c r="AB105" s="4"/>
    </row>
    <row r="106" spans="1:23" s="6" customFormat="1" ht="13.5" thickBot="1">
      <c r="A106" s="4"/>
      <c r="B106" s="151"/>
      <c r="C106" s="142"/>
      <c r="D106" s="142"/>
      <c r="E106" s="45" t="s">
        <v>28</v>
      </c>
      <c r="F106" s="89">
        <v>1</v>
      </c>
      <c r="G106" s="99">
        <v>79.34</v>
      </c>
      <c r="H106" s="99">
        <v>180.23</v>
      </c>
      <c r="I106" s="92" t="s">
        <v>63</v>
      </c>
      <c r="J106" s="153"/>
      <c r="K106" s="41">
        <v>2015</v>
      </c>
      <c r="L106" s="136"/>
      <c r="M106" s="128"/>
      <c r="N106" s="125"/>
      <c r="O106" s="125"/>
      <c r="P106" s="125"/>
      <c r="Q106" s="128"/>
      <c r="R106" s="179"/>
      <c r="S106" s="179"/>
      <c r="T106" s="182"/>
      <c r="U106" s="4"/>
      <c r="V106" s="4"/>
      <c r="W106" s="4"/>
    </row>
    <row r="107" spans="1:23" s="6" customFormat="1" ht="12.75">
      <c r="A107" s="4"/>
      <c r="B107" s="137">
        <f>B105+1</f>
        <v>34</v>
      </c>
      <c r="C107" s="140" t="s">
        <v>65</v>
      </c>
      <c r="D107" s="140" t="s">
        <v>135</v>
      </c>
      <c r="E107" s="35" t="s">
        <v>9</v>
      </c>
      <c r="F107" s="81">
        <v>1</v>
      </c>
      <c r="G107" s="82">
        <f>(82.57+79.42)/2</f>
        <v>80.995</v>
      </c>
      <c r="H107" s="83">
        <f>(173.19+180.06)/2</f>
        <v>176.625</v>
      </c>
      <c r="I107" s="84"/>
      <c r="J107" s="144">
        <f>0.3*3</f>
        <v>0.8999999999999999</v>
      </c>
      <c r="K107" s="39">
        <v>1980</v>
      </c>
      <c r="L107" s="135">
        <v>1965</v>
      </c>
      <c r="M107" s="126">
        <v>0.6989</v>
      </c>
      <c r="N107" s="123">
        <v>0</v>
      </c>
      <c r="O107" s="123">
        <v>0</v>
      </c>
      <c r="P107" s="123">
        <v>0</v>
      </c>
      <c r="Q107" s="126">
        <f>M107+N107+O107+P107</f>
        <v>0.6989</v>
      </c>
      <c r="R107" s="177"/>
      <c r="S107" s="177"/>
      <c r="T107" s="180"/>
      <c r="U107" s="4"/>
      <c r="V107" s="4"/>
      <c r="W107" s="4"/>
    </row>
    <row r="108" spans="1:23" s="6" customFormat="1" ht="12.75">
      <c r="A108" s="4"/>
      <c r="B108" s="138"/>
      <c r="C108" s="141"/>
      <c r="D108" s="141"/>
      <c r="E108" s="17" t="s">
        <v>9</v>
      </c>
      <c r="F108" s="85">
        <v>1</v>
      </c>
      <c r="G108" s="86">
        <f>(82.6+79.77)/2</f>
        <v>81.185</v>
      </c>
      <c r="H108" s="87">
        <f>(173.12+179.27)/2</f>
        <v>176.195</v>
      </c>
      <c r="I108" s="88"/>
      <c r="J108" s="145"/>
      <c r="K108" s="5">
        <v>1965</v>
      </c>
      <c r="L108" s="143"/>
      <c r="M108" s="127"/>
      <c r="N108" s="124"/>
      <c r="O108" s="124"/>
      <c r="P108" s="124"/>
      <c r="Q108" s="127"/>
      <c r="R108" s="178"/>
      <c r="S108" s="178"/>
      <c r="T108" s="181"/>
      <c r="U108" s="4"/>
      <c r="V108" s="4"/>
      <c r="W108" s="4"/>
    </row>
    <row r="109" spans="2:20" ht="13.5" thickBot="1">
      <c r="B109" s="139"/>
      <c r="C109" s="142"/>
      <c r="D109" s="142"/>
      <c r="E109" s="37" t="s">
        <v>9</v>
      </c>
      <c r="F109" s="89">
        <v>1</v>
      </c>
      <c r="G109" s="90">
        <f>(83.78+79.7)/2</f>
        <v>81.74000000000001</v>
      </c>
      <c r="H109" s="91">
        <f>(170.68+179.42)/2</f>
        <v>175.05</v>
      </c>
      <c r="I109" s="92"/>
      <c r="J109" s="146"/>
      <c r="K109" s="41">
        <v>1965</v>
      </c>
      <c r="L109" s="136"/>
      <c r="M109" s="128"/>
      <c r="N109" s="125"/>
      <c r="O109" s="125"/>
      <c r="P109" s="125"/>
      <c r="Q109" s="128"/>
      <c r="R109" s="179"/>
      <c r="S109" s="179"/>
      <c r="T109" s="182"/>
    </row>
    <row r="110" spans="1:28" s="16" customFormat="1" ht="13.5" thickBot="1">
      <c r="A110" s="15"/>
      <c r="B110" s="2"/>
      <c r="C110" s="31"/>
      <c r="D110" s="31"/>
      <c r="E110" s="4"/>
      <c r="F110" s="109"/>
      <c r="G110" s="109"/>
      <c r="H110" s="109"/>
      <c r="I110" s="110"/>
      <c r="J110" s="3"/>
      <c r="K110" s="4"/>
      <c r="L110" s="22"/>
      <c r="M110" s="18"/>
      <c r="N110" s="18"/>
      <c r="O110" s="18"/>
      <c r="P110" s="4"/>
      <c r="Q110" s="18"/>
      <c r="R110" s="24"/>
      <c r="S110" s="24"/>
      <c r="T110" s="24"/>
      <c r="U110" s="15"/>
      <c r="V110" s="15"/>
      <c r="W110" s="15"/>
      <c r="X110" s="15"/>
      <c r="Y110" s="15"/>
      <c r="Z110" s="15"/>
      <c r="AA110" s="15"/>
      <c r="AB110" s="15"/>
    </row>
    <row r="111" spans="1:28" s="16" customFormat="1" ht="13.5" thickBot="1">
      <c r="A111" s="15"/>
      <c r="B111" s="15"/>
      <c r="C111" s="65" t="s">
        <v>38</v>
      </c>
      <c r="D111" s="66"/>
      <c r="E111" s="20"/>
      <c r="F111" s="111">
        <f>SUM(F11:F110)</f>
        <v>99</v>
      </c>
      <c r="G111" s="112">
        <f>SUM(G11:G110)/F111</f>
        <v>84.90974747474748</v>
      </c>
      <c r="H111" s="112">
        <f>SUM(H11:H110)/F111</f>
        <v>168.77111457477486</v>
      </c>
      <c r="I111" s="113"/>
      <c r="J111" s="20">
        <f>SUM(J11:J110)</f>
        <v>311.9631</v>
      </c>
      <c r="K111" s="20"/>
      <c r="L111" s="21"/>
      <c r="M111" s="26">
        <f>SUM(M11:M110)</f>
        <v>150.97003000000004</v>
      </c>
      <c r="N111" s="26">
        <f>SUM(N11:N110)</f>
        <v>45.7147</v>
      </c>
      <c r="O111" s="26">
        <f>SUM(O11:O110)</f>
        <v>2.194</v>
      </c>
      <c r="P111" s="26">
        <f>SUM(P11:P110)</f>
        <v>1.1832</v>
      </c>
      <c r="Q111" s="26">
        <f>SUM(Q11:Q110)</f>
        <v>200.06193</v>
      </c>
      <c r="R111" s="21"/>
      <c r="S111" s="21"/>
      <c r="T111" s="25"/>
      <c r="U111" s="15"/>
      <c r="V111" s="15"/>
      <c r="W111" s="15"/>
      <c r="X111" s="15"/>
      <c r="Y111" s="15"/>
      <c r="Z111" s="15"/>
      <c r="AA111" s="15"/>
      <c r="AB111" s="15"/>
    </row>
    <row r="112" spans="1:28" s="16" customFormat="1" ht="12.75">
      <c r="A112" s="15"/>
      <c r="B112" s="15"/>
      <c r="C112" s="67"/>
      <c r="D112" s="67"/>
      <c r="E112" s="67"/>
      <c r="F112" s="114"/>
      <c r="G112" s="114"/>
      <c r="H112" s="114"/>
      <c r="I112" s="114"/>
      <c r="J112" s="116"/>
      <c r="K112" s="67"/>
      <c r="L112" s="67"/>
      <c r="M112" s="19"/>
      <c r="N112" s="19"/>
      <c r="O112" s="19"/>
      <c r="P112" s="19"/>
      <c r="Q112" s="19"/>
      <c r="R112" s="23"/>
      <c r="S112" s="23"/>
      <c r="T112" s="23"/>
      <c r="U112" s="15"/>
      <c r="V112" s="15"/>
      <c r="W112" s="15"/>
      <c r="X112" s="15"/>
      <c r="Y112" s="15"/>
      <c r="Z112" s="15"/>
      <c r="AA112" s="15"/>
      <c r="AB112" s="15"/>
    </row>
  </sheetData>
  <sheetProtection selectLockedCells="1" selectUnlockedCells="1"/>
  <mergeCells count="454">
    <mergeCell ref="B3:R3"/>
    <mergeCell ref="C16:C17"/>
    <mergeCell ref="B16:B17"/>
    <mergeCell ref="M6:Q6"/>
    <mergeCell ref="R28:R29"/>
    <mergeCell ref="R30:R32"/>
    <mergeCell ref="B6:B9"/>
    <mergeCell ref="C6:C9"/>
    <mergeCell ref="D16:D17"/>
    <mergeCell ref="R11:R13"/>
    <mergeCell ref="Q16:Q17"/>
    <mergeCell ref="L74:L75"/>
    <mergeCell ref="J74:J75"/>
    <mergeCell ref="R65:R67"/>
    <mergeCell ref="R68:R69"/>
    <mergeCell ref="R70:R71"/>
    <mergeCell ref="R72:R73"/>
    <mergeCell ref="R74:R75"/>
    <mergeCell ref="N65:N67"/>
    <mergeCell ref="O65:O67"/>
    <mergeCell ref="P65:P67"/>
    <mergeCell ref="M7:M9"/>
    <mergeCell ref="D6:D9"/>
    <mergeCell ref="O7:O9"/>
    <mergeCell ref="Q7:Q9"/>
    <mergeCell ref="P7:P9"/>
    <mergeCell ref="S6:S9"/>
    <mergeCell ref="R6:R9"/>
    <mergeCell ref="N7:N9"/>
    <mergeCell ref="T85:T89"/>
    <mergeCell ref="T90:T92"/>
    <mergeCell ref="T93:T96"/>
    <mergeCell ref="T97:T98"/>
    <mergeCell ref="T99:T100"/>
    <mergeCell ref="T6:T9"/>
    <mergeCell ref="T56:T59"/>
    <mergeCell ref="S11:S13"/>
    <mergeCell ref="T11:T13"/>
    <mergeCell ref="S38:S40"/>
    <mergeCell ref="T38:T40"/>
    <mergeCell ref="S41:S42"/>
    <mergeCell ref="T41:T42"/>
    <mergeCell ref="S28:S29"/>
    <mergeCell ref="T28:T29"/>
    <mergeCell ref="T30:T32"/>
    <mergeCell ref="T33:T37"/>
    <mergeCell ref="R16:R17"/>
    <mergeCell ref="S16:S17"/>
    <mergeCell ref="T16:T17"/>
    <mergeCell ref="R18:R23"/>
    <mergeCell ref="R24:R27"/>
    <mergeCell ref="S18:S23"/>
    <mergeCell ref="T18:T23"/>
    <mergeCell ref="S24:S27"/>
    <mergeCell ref="T24:T27"/>
    <mergeCell ref="O14:O15"/>
    <mergeCell ref="P14:P15"/>
    <mergeCell ref="Q14:Q15"/>
    <mergeCell ref="R14:R15"/>
    <mergeCell ref="S14:S15"/>
    <mergeCell ref="T14:T15"/>
    <mergeCell ref="D14:D15"/>
    <mergeCell ref="M11:M13"/>
    <mergeCell ref="N11:N13"/>
    <mergeCell ref="O11:O13"/>
    <mergeCell ref="P11:P13"/>
    <mergeCell ref="Q11:Q13"/>
    <mergeCell ref="L14:L15"/>
    <mergeCell ref="J14:J15"/>
    <mergeCell ref="M14:M15"/>
    <mergeCell ref="N14:N15"/>
    <mergeCell ref="S60:S64"/>
    <mergeCell ref="T60:T64"/>
    <mergeCell ref="B11:B13"/>
    <mergeCell ref="C11:C13"/>
    <mergeCell ref="D11:D13"/>
    <mergeCell ref="L11:L13"/>
    <mergeCell ref="J11:J13"/>
    <mergeCell ref="B14:B15"/>
    <mergeCell ref="C14:C15"/>
    <mergeCell ref="B28:B29"/>
    <mergeCell ref="B30:B32"/>
    <mergeCell ref="B43:B44"/>
    <mergeCell ref="C43:C44"/>
    <mergeCell ref="D43:D44"/>
    <mergeCell ref="S56:S59"/>
    <mergeCell ref="R33:R37"/>
    <mergeCell ref="S30:S32"/>
    <mergeCell ref="S33:S37"/>
    <mergeCell ref="R38:R40"/>
    <mergeCell ref="R41:R42"/>
    <mergeCell ref="R43:R44"/>
    <mergeCell ref="R45:R46"/>
    <mergeCell ref="R47:R48"/>
    <mergeCell ref="R49:R51"/>
    <mergeCell ref="S43:S44"/>
    <mergeCell ref="T43:T44"/>
    <mergeCell ref="S45:S46"/>
    <mergeCell ref="T45:T46"/>
    <mergeCell ref="S47:S48"/>
    <mergeCell ref="T47:T48"/>
    <mergeCell ref="S49:S51"/>
    <mergeCell ref="T49:T51"/>
    <mergeCell ref="R54:R55"/>
    <mergeCell ref="R56:R59"/>
    <mergeCell ref="R60:R64"/>
    <mergeCell ref="R52:R53"/>
    <mergeCell ref="S52:S53"/>
    <mergeCell ref="T52:T53"/>
    <mergeCell ref="S54:S55"/>
    <mergeCell ref="T54:T55"/>
    <mergeCell ref="S65:S67"/>
    <mergeCell ref="T65:T67"/>
    <mergeCell ref="S68:S69"/>
    <mergeCell ref="T68:T69"/>
    <mergeCell ref="S70:S71"/>
    <mergeCell ref="T70:T71"/>
    <mergeCell ref="S72:S73"/>
    <mergeCell ref="T72:T73"/>
    <mergeCell ref="S74:S75"/>
    <mergeCell ref="R76:R78"/>
    <mergeCell ref="S76:S78"/>
    <mergeCell ref="T76:T78"/>
    <mergeCell ref="T74:T75"/>
    <mergeCell ref="R79:R82"/>
    <mergeCell ref="R83:R84"/>
    <mergeCell ref="S79:S82"/>
    <mergeCell ref="T79:T82"/>
    <mergeCell ref="S83:S84"/>
    <mergeCell ref="T83:T84"/>
    <mergeCell ref="R85:R89"/>
    <mergeCell ref="R90:R92"/>
    <mergeCell ref="R93:R96"/>
    <mergeCell ref="R97:R98"/>
    <mergeCell ref="R99:R100"/>
    <mergeCell ref="S85:S89"/>
    <mergeCell ref="S90:S92"/>
    <mergeCell ref="S93:S96"/>
    <mergeCell ref="S97:S98"/>
    <mergeCell ref="S99:S100"/>
    <mergeCell ref="R101:R104"/>
    <mergeCell ref="R105:R106"/>
    <mergeCell ref="R107:R109"/>
    <mergeCell ref="S101:S104"/>
    <mergeCell ref="T101:T104"/>
    <mergeCell ref="S105:S106"/>
    <mergeCell ref="T105:T106"/>
    <mergeCell ref="S107:S109"/>
    <mergeCell ref="T107:T109"/>
    <mergeCell ref="L16:L17"/>
    <mergeCell ref="J16:J17"/>
    <mergeCell ref="M16:M17"/>
    <mergeCell ref="N16:N17"/>
    <mergeCell ref="O16:O17"/>
    <mergeCell ref="P16:P17"/>
    <mergeCell ref="B18:B23"/>
    <mergeCell ref="C18:C23"/>
    <mergeCell ref="D18:D23"/>
    <mergeCell ref="L18:L23"/>
    <mergeCell ref="J18:J23"/>
    <mergeCell ref="M18:M23"/>
    <mergeCell ref="N18:N23"/>
    <mergeCell ref="O18:O23"/>
    <mergeCell ref="P18:P23"/>
    <mergeCell ref="Q18:Q23"/>
    <mergeCell ref="D24:D27"/>
    <mergeCell ref="C24:C27"/>
    <mergeCell ref="P24:P27"/>
    <mergeCell ref="Q24:Q27"/>
    <mergeCell ref="B24:B27"/>
    <mergeCell ref="L24:L27"/>
    <mergeCell ref="J24:J27"/>
    <mergeCell ref="M24:M27"/>
    <mergeCell ref="N24:N27"/>
    <mergeCell ref="O24:O27"/>
    <mergeCell ref="C30:C32"/>
    <mergeCell ref="C28:C29"/>
    <mergeCell ref="D28:D29"/>
    <mergeCell ref="L28:L29"/>
    <mergeCell ref="J28:J29"/>
    <mergeCell ref="M28:M29"/>
    <mergeCell ref="N28:N29"/>
    <mergeCell ref="O28:O29"/>
    <mergeCell ref="P28:P29"/>
    <mergeCell ref="Q28:Q29"/>
    <mergeCell ref="D30:D32"/>
    <mergeCell ref="L30:L32"/>
    <mergeCell ref="J30:J32"/>
    <mergeCell ref="M30:M32"/>
    <mergeCell ref="N30:N32"/>
    <mergeCell ref="O30:O32"/>
    <mergeCell ref="P30:P32"/>
    <mergeCell ref="Q30:Q32"/>
    <mergeCell ref="B33:B37"/>
    <mergeCell ref="C33:C37"/>
    <mergeCell ref="D33:D37"/>
    <mergeCell ref="L33:L37"/>
    <mergeCell ref="J33:J37"/>
    <mergeCell ref="M33:M37"/>
    <mergeCell ref="N33:N37"/>
    <mergeCell ref="O33:O37"/>
    <mergeCell ref="P33:P37"/>
    <mergeCell ref="Q33:Q37"/>
    <mergeCell ref="B38:B40"/>
    <mergeCell ref="C38:C40"/>
    <mergeCell ref="D38:D40"/>
    <mergeCell ref="L38:L40"/>
    <mergeCell ref="M38:M40"/>
    <mergeCell ref="N38:N40"/>
    <mergeCell ref="O38:O40"/>
    <mergeCell ref="P38:P40"/>
    <mergeCell ref="Q38:Q40"/>
    <mergeCell ref="B41:B42"/>
    <mergeCell ref="C41:C42"/>
    <mergeCell ref="L41:L42"/>
    <mergeCell ref="J41:J42"/>
    <mergeCell ref="M41:M42"/>
    <mergeCell ref="N41:N42"/>
    <mergeCell ref="O41:O42"/>
    <mergeCell ref="P41:P42"/>
    <mergeCell ref="Q41:Q42"/>
    <mergeCell ref="L43:L44"/>
    <mergeCell ref="J43:J44"/>
    <mergeCell ref="M43:M44"/>
    <mergeCell ref="N43:N44"/>
    <mergeCell ref="O43:O44"/>
    <mergeCell ref="P43:P44"/>
    <mergeCell ref="Q43:Q44"/>
    <mergeCell ref="B45:B46"/>
    <mergeCell ref="C45:C46"/>
    <mergeCell ref="D45:D46"/>
    <mergeCell ref="L45:L46"/>
    <mergeCell ref="J45:J46"/>
    <mergeCell ref="M45:M46"/>
    <mergeCell ref="N45:N46"/>
    <mergeCell ref="O45:O46"/>
    <mergeCell ref="P45:P46"/>
    <mergeCell ref="Q45:Q46"/>
    <mergeCell ref="B47:B48"/>
    <mergeCell ref="B49:B51"/>
    <mergeCell ref="B52:B53"/>
    <mergeCell ref="C47:C48"/>
    <mergeCell ref="D47:D48"/>
    <mergeCell ref="L47:L48"/>
    <mergeCell ref="J47:J48"/>
    <mergeCell ref="M47:M48"/>
    <mergeCell ref="N47:N48"/>
    <mergeCell ref="O47:O48"/>
    <mergeCell ref="P47:P48"/>
    <mergeCell ref="Q47:Q48"/>
    <mergeCell ref="C49:C51"/>
    <mergeCell ref="L49:L51"/>
    <mergeCell ref="J49:J51"/>
    <mergeCell ref="M49:M51"/>
    <mergeCell ref="N49:N51"/>
    <mergeCell ref="O49:O51"/>
    <mergeCell ref="P49:P51"/>
    <mergeCell ref="Q49:Q51"/>
    <mergeCell ref="B54:B55"/>
    <mergeCell ref="C52:C53"/>
    <mergeCell ref="D52:D53"/>
    <mergeCell ref="L52:L53"/>
    <mergeCell ref="J52:J53"/>
    <mergeCell ref="M52:M53"/>
    <mergeCell ref="N52:N53"/>
    <mergeCell ref="O52:O53"/>
    <mergeCell ref="P52:P53"/>
    <mergeCell ref="Q52:Q53"/>
    <mergeCell ref="C54:C55"/>
    <mergeCell ref="D54:D55"/>
    <mergeCell ref="L54:L55"/>
    <mergeCell ref="J54:J55"/>
    <mergeCell ref="M54:M55"/>
    <mergeCell ref="N54:N55"/>
    <mergeCell ref="O54:O55"/>
    <mergeCell ref="P54:P55"/>
    <mergeCell ref="Q54:Q55"/>
    <mergeCell ref="B56:B59"/>
    <mergeCell ref="C56:C59"/>
    <mergeCell ref="D56:D59"/>
    <mergeCell ref="L56:L59"/>
    <mergeCell ref="J56:J59"/>
    <mergeCell ref="M56:M59"/>
    <mergeCell ref="N56:N59"/>
    <mergeCell ref="O56:O59"/>
    <mergeCell ref="P56:P59"/>
    <mergeCell ref="Q56:Q59"/>
    <mergeCell ref="B60:B64"/>
    <mergeCell ref="C60:C64"/>
    <mergeCell ref="D60:D64"/>
    <mergeCell ref="L60:L64"/>
    <mergeCell ref="J60:J64"/>
    <mergeCell ref="M60:M64"/>
    <mergeCell ref="N60:N64"/>
    <mergeCell ref="O60:O64"/>
    <mergeCell ref="P60:P64"/>
    <mergeCell ref="Q60:Q64"/>
    <mergeCell ref="B65:B67"/>
    <mergeCell ref="C65:C67"/>
    <mergeCell ref="D65:D67"/>
    <mergeCell ref="L65:L67"/>
    <mergeCell ref="J65:J67"/>
    <mergeCell ref="M65:M67"/>
    <mergeCell ref="Q65:Q67"/>
    <mergeCell ref="B68:B69"/>
    <mergeCell ref="C68:C69"/>
    <mergeCell ref="D68:D69"/>
    <mergeCell ref="L68:L69"/>
    <mergeCell ref="J68:J69"/>
    <mergeCell ref="M68:M69"/>
    <mergeCell ref="N68:N69"/>
    <mergeCell ref="O68:O69"/>
    <mergeCell ref="P68:P69"/>
    <mergeCell ref="B70:B71"/>
    <mergeCell ref="C70:C71"/>
    <mergeCell ref="D70:D71"/>
    <mergeCell ref="L70:L71"/>
    <mergeCell ref="J70:J71"/>
    <mergeCell ref="M70:M71"/>
    <mergeCell ref="J72:J73"/>
    <mergeCell ref="M72:M73"/>
    <mergeCell ref="N72:N73"/>
    <mergeCell ref="O72:O73"/>
    <mergeCell ref="P72:P73"/>
    <mergeCell ref="Q68:Q69"/>
    <mergeCell ref="N70:N71"/>
    <mergeCell ref="O70:O71"/>
    <mergeCell ref="P70:P71"/>
    <mergeCell ref="B74:B75"/>
    <mergeCell ref="C74:C75"/>
    <mergeCell ref="D74:D75"/>
    <mergeCell ref="M74:M75"/>
    <mergeCell ref="N74:N75"/>
    <mergeCell ref="Q70:Q71"/>
    <mergeCell ref="B72:B73"/>
    <mergeCell ref="C72:C73"/>
    <mergeCell ref="D72:D73"/>
    <mergeCell ref="L72:L73"/>
    <mergeCell ref="N76:N78"/>
    <mergeCell ref="Q72:Q73"/>
    <mergeCell ref="N99:N100"/>
    <mergeCell ref="O99:O100"/>
    <mergeCell ref="P99:P100"/>
    <mergeCell ref="Q99:Q100"/>
    <mergeCell ref="O79:O82"/>
    <mergeCell ref="O74:O75"/>
    <mergeCell ref="P74:P75"/>
    <mergeCell ref="Q74:Q75"/>
    <mergeCell ref="B76:B78"/>
    <mergeCell ref="C76:C78"/>
    <mergeCell ref="D76:D78"/>
    <mergeCell ref="L76:L78"/>
    <mergeCell ref="J76:J78"/>
    <mergeCell ref="M76:M78"/>
    <mergeCell ref="O83:O84"/>
    <mergeCell ref="O76:O78"/>
    <mergeCell ref="P76:P78"/>
    <mergeCell ref="Q76:Q78"/>
    <mergeCell ref="B79:B82"/>
    <mergeCell ref="C79:C82"/>
    <mergeCell ref="D79:D82"/>
    <mergeCell ref="L79:L82"/>
    <mergeCell ref="M79:M82"/>
    <mergeCell ref="N79:N82"/>
    <mergeCell ref="O85:O89"/>
    <mergeCell ref="P79:P82"/>
    <mergeCell ref="Q79:Q82"/>
    <mergeCell ref="B83:B84"/>
    <mergeCell ref="C83:C84"/>
    <mergeCell ref="D83:D84"/>
    <mergeCell ref="L83:L84"/>
    <mergeCell ref="J83:J84"/>
    <mergeCell ref="M83:M84"/>
    <mergeCell ref="N83:N84"/>
    <mergeCell ref="O90:O92"/>
    <mergeCell ref="P83:P84"/>
    <mergeCell ref="Q83:Q84"/>
    <mergeCell ref="B85:B89"/>
    <mergeCell ref="C85:C89"/>
    <mergeCell ref="D85:D89"/>
    <mergeCell ref="L85:L89"/>
    <mergeCell ref="J85:J89"/>
    <mergeCell ref="M85:M89"/>
    <mergeCell ref="N85:N89"/>
    <mergeCell ref="O93:O96"/>
    <mergeCell ref="P85:P89"/>
    <mergeCell ref="Q85:Q89"/>
    <mergeCell ref="B90:B92"/>
    <mergeCell ref="C90:C92"/>
    <mergeCell ref="D90:D92"/>
    <mergeCell ref="L90:L92"/>
    <mergeCell ref="J90:J92"/>
    <mergeCell ref="M90:M92"/>
    <mergeCell ref="N90:N92"/>
    <mergeCell ref="O97:O98"/>
    <mergeCell ref="P90:P92"/>
    <mergeCell ref="Q90:Q92"/>
    <mergeCell ref="B93:B96"/>
    <mergeCell ref="C93:C96"/>
    <mergeCell ref="D93:D96"/>
    <mergeCell ref="L93:L96"/>
    <mergeCell ref="J93:J96"/>
    <mergeCell ref="M93:M96"/>
    <mergeCell ref="N93:N96"/>
    <mergeCell ref="N101:N104"/>
    <mergeCell ref="P93:P96"/>
    <mergeCell ref="Q93:Q96"/>
    <mergeCell ref="B97:B98"/>
    <mergeCell ref="C97:C98"/>
    <mergeCell ref="D97:D98"/>
    <mergeCell ref="L97:L98"/>
    <mergeCell ref="J97:J98"/>
    <mergeCell ref="M97:M98"/>
    <mergeCell ref="N97:N98"/>
    <mergeCell ref="N105:N106"/>
    <mergeCell ref="P97:P98"/>
    <mergeCell ref="Q97:Q98"/>
    <mergeCell ref="B99:B100"/>
    <mergeCell ref="B101:B104"/>
    <mergeCell ref="C101:C104"/>
    <mergeCell ref="D101:D104"/>
    <mergeCell ref="L101:L104"/>
    <mergeCell ref="J101:J104"/>
    <mergeCell ref="M101:M104"/>
    <mergeCell ref="N107:N109"/>
    <mergeCell ref="O101:O104"/>
    <mergeCell ref="P101:P104"/>
    <mergeCell ref="Q101:Q104"/>
    <mergeCell ref="B105:B106"/>
    <mergeCell ref="C105:C106"/>
    <mergeCell ref="D105:D106"/>
    <mergeCell ref="L105:L106"/>
    <mergeCell ref="J105:J106"/>
    <mergeCell ref="M105:M106"/>
    <mergeCell ref="L99:L100"/>
    <mergeCell ref="O105:O106"/>
    <mergeCell ref="P105:P106"/>
    <mergeCell ref="Q105:Q106"/>
    <mergeCell ref="B107:B109"/>
    <mergeCell ref="C107:C109"/>
    <mergeCell ref="D107:D109"/>
    <mergeCell ref="L107:L109"/>
    <mergeCell ref="J107:J109"/>
    <mergeCell ref="M107:M109"/>
    <mergeCell ref="B2:R2"/>
    <mergeCell ref="J99:J100"/>
    <mergeCell ref="O107:O109"/>
    <mergeCell ref="P107:P109"/>
    <mergeCell ref="Q107:Q109"/>
    <mergeCell ref="E6:E9"/>
    <mergeCell ref="J6:J9"/>
    <mergeCell ref="K6:K9"/>
    <mergeCell ref="L6:L9"/>
    <mergeCell ref="M99:M100"/>
  </mergeCells>
  <printOptions horizontalCentered="1"/>
  <pageMargins left="0" right="0" top="0.7874015748031497" bottom="0" header="0.5118110236220472" footer="0.275590551181102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Горбунова Ирина Анатольевна</dc:creator>
  <cp:keywords/>
  <dc:description/>
  <cp:lastModifiedBy>Горбунова Ирина Анатольевна</cp:lastModifiedBy>
  <cp:lastPrinted>2019-02-04T12:15:45Z</cp:lastPrinted>
  <dcterms:created xsi:type="dcterms:W3CDTF">2011-06-03T09:36:35Z</dcterms:created>
  <dcterms:modified xsi:type="dcterms:W3CDTF">2019-02-07T07:34:37Z</dcterms:modified>
  <cp:category/>
  <cp:version/>
  <cp:contentType/>
  <cp:contentStatus/>
</cp:coreProperties>
</file>